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eil\Documents\Affinity Publisher\"/>
    </mc:Choice>
  </mc:AlternateContent>
  <xr:revisionPtr revIDLastSave="0" documentId="13_ncr:1_{73F3DEA0-8123-4498-A2CD-F1839EC19F6D}" xr6:coauthVersionLast="46" xr6:coauthVersionMax="46" xr10:uidLastSave="{00000000-0000-0000-0000-000000000000}"/>
  <bookViews>
    <workbookView xWindow="1170" yWindow="1170" windowWidth="21600" windowHeight="11385" tabRatio="788" activeTab="3" xr2:uid="{00000000-000D-0000-FFFF-FFFF00000000}"/>
  </bookViews>
  <sheets>
    <sheet name="Jan" sheetId="14" r:id="rId1"/>
    <sheet name="Feb" sheetId="19" r:id="rId2"/>
    <sheet name="Mar" sheetId="20" r:id="rId3"/>
    <sheet name="Apr" sheetId="22" r:id="rId4"/>
    <sheet name="May" sheetId="24" r:id="rId5"/>
    <sheet name="Jun" sheetId="25" r:id="rId6"/>
    <sheet name="Jul" sheetId="26" r:id="rId7"/>
    <sheet name="Aug" sheetId="32" r:id="rId8"/>
    <sheet name="Sep" sheetId="28" r:id="rId9"/>
    <sheet name="Oct" sheetId="29" r:id="rId10"/>
    <sheet name="Nov" sheetId="30" r:id="rId11"/>
    <sheet name="Dec" sheetId="31" r:id="rId12"/>
    <sheet name="Lookup List" sheetId="15" r:id="rId13"/>
  </sheets>
  <definedNames>
    <definedName name="AprSun1">DATEVALUE("4/1/"&amp;CalendarYear)-WEEKDAY(DATEVALUE("4/1/"&amp;CalendarYear))+1</definedName>
    <definedName name="AugSun1">DATEVALUE("8/1/"&amp;CalendarYear)-WEEKDAY(DATEVALUE("8/1/"&amp;CalendarYear))+1</definedName>
    <definedName name="CalendarYear">Jan!$K$1</definedName>
    <definedName name="DecSun1">DATEVALUE("12/1/"&amp;CalendarYear)-WEEKDAY(DATEVALUE("12/1/"&amp;CalendarYear))+1</definedName>
    <definedName name="FebSun1">DATEVALUE("2/1/"&amp;CalendarYear)-WEEKDAY(DATEVALUE("2/1/"&amp;CalendarYear))+1</definedName>
    <definedName name="JanSun1">DATEVALUE("1/1/"&amp;CalendarYear)-WEEKDAY(DATEVALUE("1/1/"&amp;CalendarYear))+1</definedName>
    <definedName name="JulSun1">DATEVALUE("7/1/"&amp;CalendarYear)-WEEKDAY(DATEVALUE("7/1/"&amp;CalendarYear))+1</definedName>
    <definedName name="JunSun1">DATEVALUE("6/1/"&amp;CalendarYear)-WEEKDAY(DATEVALUE("6/1/"&amp;CalendarYear))+1</definedName>
    <definedName name="MarSun1">DATEVALUE("3/1/"&amp;CalendarYear)-WEEKDAY(DATEVALUE("3/1/"&amp;CalendarYear))+1</definedName>
    <definedName name="MaySun1">DATEVALUE("5/1/"&amp;CalendarYear)-WEEKDAY(DATEVALUE("5/1/"&amp;CalendarYear))+1</definedName>
    <definedName name="NovSun1">DATEVALUE("11/1/"&amp;CalendarYear)-WEEKDAY(DATEVALUE("11/1/"&amp;CalendarYear))+1</definedName>
    <definedName name="OctSun1">DATEVALUE("10/1/"&amp;CalendarYear)-WEEKDAY(DATEVALUE("10/1/"&amp;CalendarYear))+1</definedName>
    <definedName name="_xlnm.Print_Area" localSheetId="3">Apr!$B$1:$H$12</definedName>
    <definedName name="_xlnm.Print_Area" localSheetId="7">Aug!$A$1:$H$14</definedName>
    <definedName name="_xlnm.Print_Area" localSheetId="11">Dec!$B$1:$H$12</definedName>
    <definedName name="_xlnm.Print_Area" localSheetId="1">Feb!$B$1:$H$16</definedName>
    <definedName name="_xlnm.Print_Area" localSheetId="0">Jan!$B$1:$H$12</definedName>
    <definedName name="_xlnm.Print_Area" localSheetId="6">Jul!$B$1:$H$12</definedName>
    <definedName name="_xlnm.Print_Area" localSheetId="5">Jun!$B$1:$H$12</definedName>
    <definedName name="_xlnm.Print_Area" localSheetId="2">Mar!$B$1:$H$12</definedName>
    <definedName name="_xlnm.Print_Area" localSheetId="4">May!$B$1:$H$12</definedName>
    <definedName name="_xlnm.Print_Area" localSheetId="10">Nov!$B$1:$H$12</definedName>
    <definedName name="_xlnm.Print_Area" localSheetId="9">Oct!$B$1:$H$12</definedName>
    <definedName name="_xlnm.Print_Area" localSheetId="8">Sep!$B$1:$H$12</definedName>
    <definedName name="SepSun1">DATEVALUE("9/1/"&amp;CalendarYear)-WEEKDAY(DATEVALUE("9/1/"&amp;CalendarYear))+1</definedName>
    <definedName name="Year">'Lookup List'!$A$2:$A$15</definedName>
  </definedNames>
  <calcPr calcId="191029"/>
</workbook>
</file>

<file path=xl/calcChain.xml><?xml version="1.0" encoding="utf-8"?>
<calcChain xmlns="http://schemas.openxmlformats.org/spreadsheetml/2006/main">
  <c r="B1" i="19" l="1"/>
  <c r="C13" i="32"/>
  <c r="B13" i="32"/>
  <c r="F11" i="26"/>
  <c r="E11" i="26"/>
  <c r="H15" i="19"/>
  <c r="G15" i="19"/>
  <c r="F15" i="19"/>
  <c r="B1" i="26"/>
  <c r="C5" i="28"/>
  <c r="F11" i="25"/>
  <c r="E15" i="19"/>
  <c r="C5" i="14"/>
  <c r="C7" i="14"/>
  <c r="C9" i="14"/>
  <c r="C11" i="14"/>
  <c r="C11" i="25"/>
  <c r="C9" i="25"/>
  <c r="C3" i="22"/>
  <c r="B1" i="14"/>
  <c r="G3" i="32"/>
  <c r="F11" i="24"/>
  <c r="D15" i="19"/>
  <c r="C15" i="19"/>
  <c r="B15" i="19"/>
  <c r="C7" i="31"/>
  <c r="E5" i="20"/>
  <c r="E7" i="20"/>
  <c r="D7" i="14"/>
  <c r="E7" i="14"/>
  <c r="D9" i="14"/>
  <c r="E9" i="14"/>
  <c r="H11" i="32"/>
  <c r="G11" i="32"/>
  <c r="F11" i="32"/>
  <c r="E11" i="32"/>
  <c r="D11" i="32"/>
  <c r="C11" i="32"/>
  <c r="B11" i="32"/>
  <c r="H9" i="32"/>
  <c r="G9" i="32"/>
  <c r="F9" i="32"/>
  <c r="E9" i="32"/>
  <c r="D9" i="32"/>
  <c r="C9" i="32"/>
  <c r="B9" i="32"/>
  <c r="H7" i="32"/>
  <c r="G7" i="32"/>
  <c r="F7" i="32"/>
  <c r="E7" i="32"/>
  <c r="D7" i="32"/>
  <c r="C7" i="32"/>
  <c r="B7" i="32"/>
  <c r="H5" i="32"/>
  <c r="G5" i="32"/>
  <c r="F5" i="32"/>
  <c r="E5" i="32"/>
  <c r="D5" i="32"/>
  <c r="C5" i="32"/>
  <c r="B5" i="32"/>
  <c r="H3" i="32"/>
  <c r="F3" i="32"/>
  <c r="E3" i="32"/>
  <c r="D3" i="32"/>
  <c r="C3" i="32"/>
  <c r="B3" i="32"/>
  <c r="B1" i="32"/>
  <c r="B1" i="28"/>
  <c r="C13" i="31"/>
  <c r="B13" i="31"/>
  <c r="H11" i="31"/>
  <c r="G11" i="31"/>
  <c r="F11" i="31"/>
  <c r="E11" i="31"/>
  <c r="D11" i="31"/>
  <c r="C11" i="31"/>
  <c r="B11" i="31"/>
  <c r="H9" i="31"/>
  <c r="G9" i="31"/>
  <c r="F9" i="31"/>
  <c r="E9" i="31"/>
  <c r="D9" i="31"/>
  <c r="C9" i="31"/>
  <c r="B9" i="31"/>
  <c r="H7" i="31"/>
  <c r="G7" i="31"/>
  <c r="F7" i="31"/>
  <c r="E7" i="31"/>
  <c r="D7" i="31"/>
  <c r="B7" i="31"/>
  <c r="H5" i="31"/>
  <c r="G5" i="31"/>
  <c r="F5" i="31"/>
  <c r="E5" i="31"/>
  <c r="D5" i="31"/>
  <c r="C5" i="31"/>
  <c r="B5" i="31"/>
  <c r="H3" i="31"/>
  <c r="G3" i="31"/>
  <c r="F3" i="31"/>
  <c r="E3" i="31"/>
  <c r="D3" i="31"/>
  <c r="C3" i="31"/>
  <c r="B3" i="31"/>
  <c r="B1" i="31"/>
  <c r="B13" i="30"/>
  <c r="H11" i="30"/>
  <c r="G11" i="30"/>
  <c r="F11" i="30"/>
  <c r="E11" i="30"/>
  <c r="D11" i="30"/>
  <c r="C11" i="30"/>
  <c r="B11" i="30"/>
  <c r="H9" i="30"/>
  <c r="G9" i="30"/>
  <c r="F9" i="30"/>
  <c r="E9" i="30"/>
  <c r="D9" i="30"/>
  <c r="C9" i="30"/>
  <c r="B9" i="30"/>
  <c r="H7" i="30"/>
  <c r="G7" i="30"/>
  <c r="F7" i="30"/>
  <c r="E7" i="30"/>
  <c r="D7" i="30"/>
  <c r="C7" i="30"/>
  <c r="B7" i="30"/>
  <c r="H5" i="30"/>
  <c r="G5" i="30"/>
  <c r="F5" i="30"/>
  <c r="E5" i="30"/>
  <c r="D5" i="30"/>
  <c r="C5" i="30"/>
  <c r="B5" i="30"/>
  <c r="H3" i="30"/>
  <c r="G3" i="30"/>
  <c r="F3" i="30"/>
  <c r="E3" i="30"/>
  <c r="D3" i="30"/>
  <c r="C3" i="30"/>
  <c r="B3" i="30"/>
  <c r="B1" i="30"/>
  <c r="H11" i="29"/>
  <c r="G11" i="29"/>
  <c r="F11" i="29"/>
  <c r="E11" i="29"/>
  <c r="D11" i="29"/>
  <c r="C11" i="29"/>
  <c r="B11" i="29"/>
  <c r="H9" i="29"/>
  <c r="G9" i="29"/>
  <c r="F9" i="29"/>
  <c r="E9" i="29"/>
  <c r="D9" i="29"/>
  <c r="C9" i="29"/>
  <c r="B9" i="29"/>
  <c r="H7" i="29"/>
  <c r="G7" i="29"/>
  <c r="F7" i="29"/>
  <c r="E7" i="29"/>
  <c r="D7" i="29"/>
  <c r="C7" i="29"/>
  <c r="B7" i="29"/>
  <c r="H5" i="29"/>
  <c r="G5" i="29"/>
  <c r="F5" i="29"/>
  <c r="E5" i="29"/>
  <c r="D5" i="29"/>
  <c r="C5" i="29"/>
  <c r="B5" i="29"/>
  <c r="H3" i="29"/>
  <c r="G3" i="29"/>
  <c r="F3" i="29"/>
  <c r="E3" i="29"/>
  <c r="D3" i="29"/>
  <c r="C3" i="29"/>
  <c r="B3" i="29"/>
  <c r="B1" i="29"/>
  <c r="B13" i="28"/>
  <c r="H11" i="28"/>
  <c r="G11" i="28"/>
  <c r="F11" i="28"/>
  <c r="E11" i="28"/>
  <c r="D11" i="28"/>
  <c r="C11" i="28"/>
  <c r="B11" i="28"/>
  <c r="H9" i="28"/>
  <c r="G9" i="28"/>
  <c r="F9" i="28"/>
  <c r="E9" i="28"/>
  <c r="D9" i="28"/>
  <c r="C9" i="28"/>
  <c r="B9" i="28"/>
  <c r="H7" i="28"/>
  <c r="G7" i="28"/>
  <c r="F7" i="28"/>
  <c r="E7" i="28"/>
  <c r="D7" i="28"/>
  <c r="C7" i="28"/>
  <c r="B7" i="28"/>
  <c r="H5" i="28"/>
  <c r="F5" i="28"/>
  <c r="E5" i="28"/>
  <c r="D5" i="28"/>
  <c r="B5" i="28"/>
  <c r="H3" i="28"/>
  <c r="G3" i="28"/>
  <c r="F3" i="28"/>
  <c r="E3" i="28"/>
  <c r="D3" i="28"/>
  <c r="C3" i="28"/>
  <c r="B3" i="28"/>
  <c r="C13" i="26"/>
  <c r="B13" i="26"/>
  <c r="H11" i="26"/>
  <c r="G11" i="26"/>
  <c r="D11" i="26"/>
  <c r="C11" i="26"/>
  <c r="B11" i="26"/>
  <c r="H9" i="26"/>
  <c r="G9" i="26"/>
  <c r="F9" i="26"/>
  <c r="E9" i="26"/>
  <c r="D9" i="26"/>
  <c r="C9" i="26"/>
  <c r="B9" i="26"/>
  <c r="H7" i="26"/>
  <c r="G7" i="26"/>
  <c r="F7" i="26"/>
  <c r="E7" i="26"/>
  <c r="D7" i="26"/>
  <c r="C7" i="26"/>
  <c r="B7" i="26"/>
  <c r="H5" i="26"/>
  <c r="G5" i="26"/>
  <c r="F5" i="26"/>
  <c r="E5" i="26"/>
  <c r="D5" i="26"/>
  <c r="C5" i="26"/>
  <c r="B5" i="26"/>
  <c r="H3" i="26"/>
  <c r="G3" i="26"/>
  <c r="F3" i="26"/>
  <c r="E3" i="26"/>
  <c r="D3" i="26"/>
  <c r="C3" i="26"/>
  <c r="B3" i="26"/>
  <c r="B13" i="25"/>
  <c r="H11" i="25"/>
  <c r="G11" i="25"/>
  <c r="E11" i="25"/>
  <c r="D11" i="25"/>
  <c r="B11" i="25"/>
  <c r="H9" i="25"/>
  <c r="G9" i="25"/>
  <c r="F9" i="25"/>
  <c r="E9" i="25"/>
  <c r="D9" i="25"/>
  <c r="B9" i="25"/>
  <c r="H7" i="25"/>
  <c r="G7" i="25"/>
  <c r="F7" i="25"/>
  <c r="E7" i="25"/>
  <c r="D7" i="25"/>
  <c r="C7" i="25"/>
  <c r="B7" i="25"/>
  <c r="H5" i="25"/>
  <c r="G5" i="25"/>
  <c r="F5" i="25"/>
  <c r="E5" i="25"/>
  <c r="D5" i="25"/>
  <c r="C5" i="25"/>
  <c r="B5" i="25"/>
  <c r="H3" i="25"/>
  <c r="G3" i="25"/>
  <c r="F3" i="25"/>
  <c r="E3" i="25"/>
  <c r="D3" i="25"/>
  <c r="C3" i="25"/>
  <c r="B3" i="25"/>
  <c r="B1" i="25"/>
  <c r="H11" i="24"/>
  <c r="G11" i="24"/>
  <c r="E11" i="24"/>
  <c r="D11" i="24"/>
  <c r="C11" i="24"/>
  <c r="B11" i="24"/>
  <c r="H9" i="24"/>
  <c r="G9" i="24"/>
  <c r="F9" i="24"/>
  <c r="E9" i="24"/>
  <c r="D9" i="24"/>
  <c r="C9" i="24"/>
  <c r="B9" i="24"/>
  <c r="H7" i="24"/>
  <c r="G7" i="24"/>
  <c r="F7" i="24"/>
  <c r="E7" i="24"/>
  <c r="D7" i="24"/>
  <c r="C7" i="24"/>
  <c r="B7" i="24"/>
  <c r="H5" i="24"/>
  <c r="G5" i="24"/>
  <c r="F5" i="24"/>
  <c r="E5" i="24"/>
  <c r="D5" i="24"/>
  <c r="C5" i="24"/>
  <c r="B5" i="24"/>
  <c r="H3" i="24"/>
  <c r="G3" i="24"/>
  <c r="F3" i="24"/>
  <c r="E3" i="24"/>
  <c r="D3" i="24"/>
  <c r="C3" i="24"/>
  <c r="B3" i="24"/>
  <c r="B1" i="24"/>
  <c r="B13" i="22"/>
  <c r="H11" i="22"/>
  <c r="G11" i="22"/>
  <c r="F11" i="22"/>
  <c r="E11" i="22"/>
  <c r="D11" i="22"/>
  <c r="C11" i="22"/>
  <c r="B11" i="22"/>
  <c r="H9" i="22"/>
  <c r="G9" i="22"/>
  <c r="F9" i="22"/>
  <c r="E9" i="22"/>
  <c r="D9" i="22"/>
  <c r="C9" i="22"/>
  <c r="B9" i="22"/>
  <c r="H7" i="22"/>
  <c r="G7" i="22"/>
  <c r="F7" i="22"/>
  <c r="E7" i="22"/>
  <c r="D7" i="22"/>
  <c r="C7" i="22"/>
  <c r="B7" i="22"/>
  <c r="H5" i="22"/>
  <c r="G5" i="22"/>
  <c r="F5" i="22"/>
  <c r="E5" i="22"/>
  <c r="D5" i="22"/>
  <c r="C5" i="22"/>
  <c r="B5" i="22"/>
  <c r="H3" i="22"/>
  <c r="G3" i="22"/>
  <c r="F3" i="22"/>
  <c r="E3" i="22"/>
  <c r="D3" i="22"/>
  <c r="B3" i="22"/>
  <c r="B1" i="22"/>
  <c r="H11" i="19"/>
  <c r="G11" i="19"/>
  <c r="F11" i="19"/>
  <c r="E11" i="19"/>
  <c r="D11" i="19"/>
  <c r="C11" i="19"/>
  <c r="B11" i="19"/>
  <c r="H9" i="19"/>
  <c r="G9" i="19"/>
  <c r="F9" i="19"/>
  <c r="E9" i="19"/>
  <c r="D9" i="19"/>
  <c r="C9" i="19"/>
  <c r="B9" i="19"/>
  <c r="H7" i="19"/>
  <c r="G7" i="19"/>
  <c r="F7" i="19"/>
  <c r="E7" i="19"/>
  <c r="D7" i="19"/>
  <c r="C7" i="19"/>
  <c r="B7" i="19"/>
  <c r="H5" i="19"/>
  <c r="G5" i="19"/>
  <c r="F5" i="19"/>
  <c r="E5" i="19"/>
  <c r="D5" i="19"/>
  <c r="C5" i="19"/>
  <c r="B5" i="19"/>
  <c r="H3" i="19"/>
  <c r="G3" i="19"/>
  <c r="F3" i="19"/>
  <c r="E3" i="19"/>
  <c r="D3" i="19"/>
  <c r="C3" i="19"/>
  <c r="B3" i="19"/>
  <c r="C13" i="20"/>
  <c r="B13" i="20"/>
  <c r="H11" i="20"/>
  <c r="G11" i="20"/>
  <c r="F11" i="20"/>
  <c r="E11" i="20"/>
  <c r="D11" i="20"/>
  <c r="C11" i="20"/>
  <c r="B11" i="20"/>
  <c r="H9" i="20"/>
  <c r="G9" i="20"/>
  <c r="F9" i="20"/>
  <c r="E9" i="20"/>
  <c r="D9" i="20"/>
  <c r="C9" i="20"/>
  <c r="B9" i="20"/>
  <c r="H7" i="20"/>
  <c r="G7" i="20"/>
  <c r="F7" i="20"/>
  <c r="D7" i="20"/>
  <c r="C7" i="20"/>
  <c r="B7" i="20"/>
  <c r="H5" i="20"/>
  <c r="G5" i="20"/>
  <c r="F5" i="20"/>
  <c r="D5" i="20"/>
  <c r="C5" i="20"/>
  <c r="B5" i="20"/>
  <c r="H3" i="20"/>
  <c r="G3" i="20"/>
  <c r="F3" i="20"/>
  <c r="E3" i="20"/>
  <c r="D3" i="20"/>
  <c r="C3" i="20"/>
  <c r="B3" i="20"/>
  <c r="C13" i="14"/>
  <c r="B13" i="14"/>
  <c r="H11" i="14"/>
  <c r="G11" i="14"/>
  <c r="F11" i="14"/>
  <c r="E11" i="14"/>
  <c r="D11" i="14"/>
  <c r="B11" i="14"/>
  <c r="H9" i="14"/>
  <c r="G9" i="14"/>
  <c r="F9" i="14"/>
  <c r="B9" i="14"/>
  <c r="H7" i="14"/>
  <c r="G7" i="14"/>
  <c r="F7" i="14"/>
  <c r="B7" i="14"/>
  <c r="H5" i="14"/>
  <c r="G5" i="14"/>
  <c r="F5" i="14"/>
  <c r="E5" i="14"/>
  <c r="D5" i="14"/>
  <c r="B5" i="14"/>
  <c r="F3" i="14"/>
  <c r="B3" i="14"/>
  <c r="H3" i="14"/>
  <c r="G3" i="14"/>
  <c r="E3" i="14"/>
  <c r="D3" i="14"/>
  <c r="C3" i="14"/>
</calcChain>
</file>

<file path=xl/sharedStrings.xml><?xml version="1.0" encoding="utf-8"?>
<sst xmlns="http://schemas.openxmlformats.org/spreadsheetml/2006/main" count="245" uniqueCount="127">
  <si>
    <t>Select
Year:</t>
  </si>
  <si>
    <t>Sun.</t>
  </si>
  <si>
    <t>Monday</t>
  </si>
  <si>
    <t>Tuesday</t>
  </si>
  <si>
    <t>Wednesday</t>
  </si>
  <si>
    <t>Thursday</t>
  </si>
  <si>
    <t>Friday</t>
  </si>
  <si>
    <t>Sat.</t>
  </si>
  <si>
    <r>
      <rPr>
        <b/>
        <sz val="11"/>
        <color indexed="63"/>
        <rFont val="Palatino Linotype"/>
        <family val="1"/>
      </rPr>
      <t xml:space="preserve">9-Hole Golf
</t>
    </r>
    <r>
      <rPr>
        <sz val="9"/>
        <color indexed="63"/>
        <rFont val="Palatino Linotype"/>
        <family val="1"/>
      </rPr>
      <t>(10:00@ Buchanan Fields GC)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</si>
  <si>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(9:32@ Boundary Oak GC )</t>
    </r>
  </si>
  <si>
    <r>
      <rPr>
        <b/>
        <sz val="11"/>
        <color indexed="63"/>
        <rFont val="Palatino Linotype"/>
        <family val="1"/>
      </rPr>
      <t>Luncheon Bridge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(11:30@ Diablo CC)</t>
    </r>
  </si>
  <si>
    <t>Walking Tour</t>
  </si>
  <si>
    <t>Notes:</t>
  </si>
  <si>
    <t>Super Bowl</t>
  </si>
  <si>
    <r>
      <rPr>
        <b/>
        <sz val="11"/>
        <rFont val="Palatino Linotype"/>
        <family val="1"/>
      </rPr>
      <t>Duplicate Bridge</t>
    </r>
    <r>
      <rPr>
        <sz val="9"/>
        <rFont val="Palatino Linotype"/>
        <family val="1"/>
      </rPr>
      <t xml:space="preserve">
(9:00 Diablo Vlly. Bridge Ctr)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</si>
  <si>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Buchanan Fields GC)</t>
    </r>
  </si>
  <si>
    <r>
      <rPr>
        <b/>
        <sz val="11"/>
        <color indexed="63"/>
        <rFont val="Palatino Linotype"/>
        <family val="1"/>
      </rPr>
      <t>Fishing Group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(8:30@ Legends-Diablo Crk)</t>
    </r>
  </si>
  <si>
    <r>
      <rPr>
        <b/>
        <u/>
        <sz val="16"/>
        <color indexed="10"/>
        <rFont val="Palatino Linotype"/>
        <family val="1"/>
      </rPr>
      <t>SIR Br. 116 Mtg</t>
    </r>
    <r>
      <rPr>
        <u/>
        <sz val="16"/>
        <color indexed="10"/>
        <rFont val="Palatino Linotype"/>
        <family val="1"/>
      </rPr>
      <t>.</t>
    </r>
    <r>
      <rPr>
        <b/>
        <sz val="9"/>
        <color indexed="10"/>
        <rFont val="Palatino Linotype"/>
        <family val="1"/>
      </rPr>
      <t xml:space="preserve">
(11:30 @ Boundary Oak)</t>
    </r>
  </si>
  <si>
    <t>Easter</t>
  </si>
  <si>
    <r>
      <rPr>
        <b/>
        <sz val="11"/>
        <color indexed="63"/>
        <rFont val="Palatino Linotype"/>
        <family val="1"/>
      </rPr>
      <t xml:space="preserve">9-Hole Golf
</t>
    </r>
    <r>
      <rPr>
        <sz val="9"/>
        <color indexed="63"/>
        <rFont val="Palatino Linotype"/>
        <family val="1"/>
      </rPr>
      <t xml:space="preserve">(10:00@ Diablo Hills GC)
</t>
    </r>
    <r>
      <rPr>
        <b/>
        <sz val="11"/>
        <color indexed="63"/>
        <rFont val="Palatino Linotype"/>
        <family val="1"/>
      </rPr>
      <t>Mexican Train Dominos</t>
    </r>
    <r>
      <rPr>
        <sz val="9"/>
        <color indexed="63"/>
        <rFont val="Palatino Linotype"/>
        <family val="1"/>
      </rPr>
      <t xml:space="preserve">
(2:00@ TBD)</t>
    </r>
  </si>
  <si>
    <r>
      <rPr>
        <b/>
        <sz val="11"/>
        <color indexed="63"/>
        <rFont val="Palatino Linotype"/>
        <family val="1"/>
      </rPr>
      <t>Hiking &amp; Walking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(8:15@ Olympic Blvd. &amp; Pleasant Hill Rd)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</si>
  <si>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Buchanan Fields)</t>
    </r>
    <r>
      <rPr>
        <b/>
        <sz val="11"/>
        <color indexed="63"/>
        <rFont val="Palatino Linotype"/>
        <family val="1"/>
      </rPr>
      <t/>
    </r>
  </si>
  <si>
    <r>
      <rPr>
        <b/>
        <sz val="11"/>
        <color indexed="63"/>
        <rFont val="Palatino Linotype"/>
        <family val="1"/>
      </rPr>
      <t>Hiking &amp; Walking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(8:15@ Lafayette Community Center)</t>
    </r>
  </si>
  <si>
    <t>Notes</t>
  </si>
  <si>
    <t>Conco De Mayo</t>
  </si>
  <si>
    <r>
      <rPr>
        <b/>
        <sz val="11"/>
        <color indexed="63"/>
        <rFont val="Palatino Linotype"/>
        <family val="1"/>
      </rPr>
      <t>Luncheon Bridge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(11:30@ Contra Costa Bridge Center)</t>
    </r>
  </si>
  <si>
    <r>
      <rPr>
        <b/>
        <sz val="11"/>
        <color indexed="63"/>
        <rFont val="Palatino Linotype"/>
        <family val="1"/>
      </rPr>
      <t xml:space="preserve">Mexican Train
</t>
    </r>
    <r>
      <rPr>
        <sz val="9"/>
        <color indexed="63"/>
        <rFont val="Palatino Linotype"/>
        <family val="1"/>
      </rPr>
      <t>(10:00@ Church of Christ, Minert Rd., WC)</t>
    </r>
    <r>
      <rPr>
        <b/>
        <sz val="11"/>
        <color indexed="63"/>
        <rFont val="Palatino Linotype"/>
        <family val="1"/>
      </rPr>
      <t xml:space="preserve">
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Diablo Hills GC)</t>
    </r>
  </si>
  <si>
    <r>
      <t xml:space="preserve">
</t>
    </r>
    <r>
      <rPr>
        <sz val="9"/>
        <color indexed="63"/>
        <rFont val="Palatino Linotype"/>
        <family val="1"/>
      </rPr>
      <t>(12:30@ Crow Canyon CC)</t>
    </r>
  </si>
  <si>
    <r>
      <rPr>
        <b/>
        <sz val="11"/>
        <color indexed="63"/>
        <rFont val="Palatino Linotype"/>
        <family val="1"/>
      </rPr>
      <t>Hiking &amp; Walking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(8:15@ Museum of San Ramon Valley, Danville)</t>
    </r>
  </si>
  <si>
    <t>Mothers Day</t>
  </si>
  <si>
    <r>
      <t xml:space="preserve">
</t>
    </r>
    <r>
      <rPr>
        <b/>
        <sz val="11"/>
        <color indexed="63"/>
        <rFont val="Palatino Linotype"/>
        <family val="1"/>
      </rPr>
      <t>Computer &amp; Tech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(9:30@ Elks Club)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</si>
  <si>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(9:30@ Lake Chabot GC )</t>
    </r>
  </si>
  <si>
    <r>
      <t xml:space="preserve">
</t>
    </r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(10:00@ Brentwood GC)
</t>
    </r>
    <r>
      <rPr>
        <b/>
        <sz val="11"/>
        <color indexed="63"/>
        <rFont val="Palatino Linotype"/>
        <family val="1"/>
      </rPr>
      <t>$ums Investment</t>
    </r>
    <r>
      <rPr>
        <sz val="9"/>
        <color indexed="63"/>
        <rFont val="Palatino Linotype"/>
        <family val="1"/>
      </rPr>
      <t xml:space="preserve">
(8:00@ Diablo Creek GC)</t>
    </r>
  </si>
  <si>
    <r>
      <t xml:space="preserve">
</t>
    </r>
    <r>
      <rPr>
        <b/>
        <sz val="11"/>
        <rFont val="Palatino Linotype"/>
        <family val="1"/>
      </rPr>
      <t>Fishing Group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(8:30@ Legends-Diablo Crk)
</t>
    </r>
    <r>
      <rPr>
        <b/>
        <sz val="11"/>
        <rFont val="Palatino Linotype"/>
        <family val="1"/>
      </rPr>
      <t>Couples Train</t>
    </r>
    <r>
      <rPr>
        <sz val="9"/>
        <rFont val="Palatino Linotype"/>
        <family val="1"/>
      </rPr>
      <t xml:space="preserve">
(10:00@ Church of Christ, Mioert Rd., WC)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</si>
  <si>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(9:00@ Hiddenbrooke GC)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</si>
  <si>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Diablo Hills GC)</t>
    </r>
  </si>
  <si>
    <r>
      <rPr>
        <b/>
        <sz val="11"/>
        <rFont val="Palatino Linotype"/>
        <family val="1"/>
      </rPr>
      <t>Duplicate Bridge</t>
    </r>
    <r>
      <rPr>
        <sz val="9"/>
        <rFont val="Palatino Linotype"/>
        <family val="1"/>
      </rPr>
      <t xml:space="preserve">
(10:00 Diablo Vlly. Bridge Ctr)
</t>
    </r>
    <r>
      <rPr>
        <b/>
        <sz val="11"/>
        <rFont val="Palatino Linotype"/>
        <family val="1"/>
      </rPr>
      <t>Dine-O-SIR</t>
    </r>
    <r>
      <rPr>
        <sz val="9"/>
        <rFont val="Palatino Linotype"/>
        <family val="1"/>
      </rPr>
      <t xml:space="preserve">
(6:00@ Zio Fraedo's, PH)</t>
    </r>
  </si>
  <si>
    <r>
      <rPr>
        <b/>
        <sz val="11"/>
        <color indexed="63"/>
        <rFont val="Palatino Linotype"/>
        <family val="1"/>
      </rPr>
      <t>Hiking &amp; Walking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(8:15@ Iron Horse Trail at Stone Valley Rd.)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</si>
  <si>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(10:00@ Diablo Hills GC)
</t>
    </r>
    <r>
      <rPr>
        <b/>
        <sz val="11"/>
        <color indexed="63"/>
        <rFont val="Palatino Linotype"/>
        <family val="1"/>
      </rPr>
      <t>Mexican Train</t>
    </r>
    <r>
      <rPr>
        <sz val="9"/>
        <color indexed="63"/>
        <rFont val="Palatino Linotype"/>
        <family val="1"/>
      </rPr>
      <t xml:space="preserve">
(10:00@ Church of Christ, Walnut Creekl)</t>
    </r>
  </si>
  <si>
    <r>
      <rPr>
        <b/>
        <sz val="14"/>
        <color indexed="10"/>
        <rFont val="Palatino Linotype"/>
        <family val="1"/>
      </rPr>
      <t>SIR Br. 116 Mtg.</t>
    </r>
    <r>
      <rPr>
        <b/>
        <sz val="11"/>
        <color indexed="63"/>
        <rFont val="Palatino Linotype"/>
        <family val="1"/>
      </rPr>
      <t xml:space="preserve">
</t>
    </r>
    <r>
      <rPr>
        <sz val="10"/>
        <color indexed="63"/>
        <rFont val="Palatino Linotype"/>
        <family val="1"/>
      </rPr>
      <t>(11:30@ Boundary Oak)</t>
    </r>
    <r>
      <rPr>
        <b/>
        <sz val="11"/>
        <color indexed="63"/>
        <rFont val="Palatino Linotype"/>
        <family val="1"/>
      </rPr>
      <t xml:space="preserve">
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</si>
  <si>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(9:30@ Chardonnay GC)</t>
    </r>
  </si>
  <si>
    <r>
      <rPr>
        <b/>
        <sz val="11"/>
        <color indexed="63"/>
        <rFont val="Palatino Linotype"/>
        <family val="1"/>
      </rPr>
      <t>Hiking &amp; Walking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(8:15@ Moraga Commons)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</si>
  <si>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(9:30@ Blue Rock West GC )
</t>
    </r>
    <r>
      <rPr>
        <b/>
        <sz val="11"/>
        <color indexed="63"/>
        <rFont val="Palatino Linotype"/>
        <family val="1"/>
      </rPr>
      <t>Book Group</t>
    </r>
    <r>
      <rPr>
        <sz val="9"/>
        <color indexed="63"/>
        <rFont val="Palatino Linotype"/>
        <family val="1"/>
      </rPr>
      <t xml:space="preserve">
(10:15@ Orinda Books)</t>
    </r>
  </si>
  <si>
    <r>
      <rPr>
        <b/>
        <sz val="11"/>
        <color indexed="63"/>
        <rFont val="Palatino Linotype"/>
        <family val="1"/>
      </rPr>
      <t xml:space="preserve">9-Hole Golf
</t>
    </r>
    <r>
      <rPr>
        <sz val="9"/>
        <color indexed="63"/>
        <rFont val="Palatino Linotype"/>
        <family val="1"/>
      </rPr>
      <t>(10:00@ Brentwood CC)</t>
    </r>
  </si>
  <si>
    <t xml:space="preserve">
</t>
  </si>
  <si>
    <t>Year</t>
  </si>
  <si>
    <r>
      <rPr>
        <b/>
        <sz val="11"/>
        <color indexed="63"/>
        <rFont val="Palatino Linotype"/>
        <family val="1"/>
      </rPr>
      <t>Pickleball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(8:00@ WC Tennis, Heather Farms)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</si>
  <si>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Buchanon Fields GC)</t>
    </r>
  </si>
  <si>
    <r>
      <rPr>
        <b/>
        <sz val="11"/>
        <color indexed="63"/>
        <rFont val="Palatino Linotype"/>
        <family val="1"/>
      </rPr>
      <t xml:space="preserve">
Pickleball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(8:00@ WC Tennis, Heather Farms)</t>
    </r>
  </si>
  <si>
    <r>
      <rPr>
        <b/>
        <sz val="11"/>
        <color indexed="63"/>
        <rFont val="Palatino Linotype"/>
        <family val="1"/>
      </rPr>
      <t>Pickleball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(8:00@ Heather Farms)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</si>
  <si>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TBD)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</si>
  <si>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Pleasanton GC)</t>
    </r>
  </si>
  <si>
    <r>
      <rPr>
        <b/>
        <sz val="11"/>
        <color indexed="63"/>
        <rFont val="Palatino Linotype"/>
        <family val="1"/>
      </rPr>
      <t xml:space="preserve">9-Hole Golf
</t>
    </r>
    <r>
      <rPr>
        <sz val="9"/>
        <color indexed="63"/>
        <rFont val="Palatino Linotype"/>
        <family val="1"/>
      </rPr>
      <t>(10:00@ Pleasanton GC)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</si>
  <si>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(9:30@ Lake Chabot GC 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</si>
  <si>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(9:32@ TBD)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</si>
  <si>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(9:30@ Blue Rock East GC)</t>
    </r>
  </si>
  <si>
    <r>
      <rPr>
        <b/>
        <sz val="16"/>
        <color indexed="10"/>
        <rFont val="Palatino Linotype"/>
        <family val="1"/>
      </rPr>
      <t>SIR Br. 116
Speaker Meeting</t>
    </r>
    <r>
      <rPr>
        <b/>
        <sz val="14"/>
        <color indexed="10"/>
        <rFont val="Palatino Linotype"/>
        <family val="1"/>
      </rPr>
      <t xml:space="preserve">
</t>
    </r>
    <r>
      <rPr>
        <sz val="11"/>
        <rFont val="Palatino Linotype"/>
        <family val="1"/>
      </rPr>
      <t>(12:00 PM via Zoom)</t>
    </r>
  </si>
  <si>
    <r>
      <rPr>
        <b/>
        <sz val="11"/>
        <rFont val="Palatino Linotype"/>
        <family val="1"/>
      </rPr>
      <t>Hiking &amp; Walking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(8:15@ TBD)
</t>
    </r>
    <r>
      <rPr>
        <b/>
        <sz val="11"/>
        <rFont val="Palatino Linotype"/>
        <family val="1"/>
      </rPr>
      <t xml:space="preserve">Pickleball
</t>
    </r>
    <r>
      <rPr>
        <sz val="9"/>
        <rFont val="Palatino Linotype"/>
        <family val="1"/>
      </rPr>
      <t>(7:30@ WC Tennis, Heather Farms)</t>
    </r>
  </si>
  <si>
    <r>
      <rPr>
        <b/>
        <sz val="11"/>
        <color indexed="63"/>
        <rFont val="Palatino Linotype"/>
        <family val="1"/>
      </rPr>
      <t>Pickleball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(7:30@ WC Tennis, Heather Farms)</t>
    </r>
  </si>
  <si>
    <r>
      <rPr>
        <b/>
        <sz val="11"/>
        <rFont val="Palatino Linotype"/>
        <family val="1"/>
      </rPr>
      <t>Hiking &amp; Walking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(8:15@ TBD)
</t>
    </r>
    <r>
      <rPr>
        <b/>
        <sz val="11"/>
        <rFont val="Palatino Linotype"/>
        <family val="1"/>
      </rPr>
      <t>Pickleball</t>
    </r>
    <r>
      <rPr>
        <sz val="9"/>
        <rFont val="Palatino Linotype"/>
        <family val="1"/>
      </rPr>
      <t xml:space="preserve">
(7:30@ WC Tennis, Heather Farms)</t>
    </r>
  </si>
  <si>
    <r>
      <rPr>
        <b/>
        <sz val="11"/>
        <rFont val="Palatino Linotype"/>
        <family val="1"/>
      </rPr>
      <t>9-Hole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(10:00@ Brentwood GC)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</si>
  <si>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(9:30@ Lone Tree GC )
</t>
    </r>
    <r>
      <rPr>
        <b/>
        <sz val="11"/>
        <rFont val="Palatino Linotype"/>
        <family val="1"/>
      </rPr>
      <t>Book Group 1</t>
    </r>
    <r>
      <rPr>
        <sz val="9"/>
        <rFont val="Palatino Linotype"/>
        <family val="1"/>
      </rPr>
      <t xml:space="preserve">
(10:15 AM via Zoom)</t>
    </r>
  </si>
  <si>
    <r>
      <rPr>
        <b/>
        <sz val="11"/>
        <rFont val="Palatino Linotype"/>
        <family val="1"/>
      </rPr>
      <t xml:space="preserve">9-Hole Golf
</t>
    </r>
    <r>
      <rPr>
        <sz val="9"/>
        <rFont val="Palatino Linotype"/>
        <family val="1"/>
      </rPr>
      <t>(10:00@ Buchanan Fields GC)</t>
    </r>
  </si>
  <si>
    <r>
      <rPr>
        <b/>
        <sz val="11"/>
        <rFont val="Palatino Linotype"/>
        <family val="1"/>
      </rPr>
      <t>9-Hole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(10:00@ Diablo Hills GC)</t>
    </r>
  </si>
  <si>
    <r>
      <rPr>
        <b/>
        <sz val="11"/>
        <rFont val="Palatino Linotype"/>
        <family val="1"/>
      </rPr>
      <t>Computer &amp; Tech</t>
    </r>
    <r>
      <rPr>
        <sz val="9"/>
        <rFont val="Palatino Linotype"/>
        <family val="1"/>
      </rPr>
      <t xml:space="preserve">
(9:30 AM via Zoom)
</t>
    </r>
    <r>
      <rPr>
        <b/>
        <sz val="11"/>
        <rFont val="Palatino Linotype"/>
        <family val="1"/>
      </rPr>
      <t>Book Group 2</t>
    </r>
    <r>
      <rPr>
        <sz val="9"/>
        <rFont val="Palatino Linotype"/>
        <family val="1"/>
      </rPr>
      <t xml:space="preserve">
(11:00 AM via Zoom)</t>
    </r>
  </si>
  <si>
    <r>
      <rPr>
        <b/>
        <sz val="11"/>
        <rFont val="Palatino Linotype"/>
        <family val="1"/>
      </rPr>
      <t>Fishing Group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(8:30 AM via Zoom)
</t>
    </r>
    <r>
      <rPr>
        <b/>
        <sz val="11"/>
        <rFont val="Palatino Linotype"/>
        <family val="1"/>
      </rPr>
      <t>Wine Appreciation</t>
    </r>
    <r>
      <rPr>
        <sz val="9"/>
        <rFont val="Palatino Linotype"/>
        <family val="1"/>
      </rPr>
      <t xml:space="preserve">
(4:00@ Jon Dickson home)</t>
    </r>
  </si>
  <si>
    <t>Fourth of July</t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</si>
  <si>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(9:30@ San Ramon GC 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</si>
  <si>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(9:32@ San Ramon CC )</t>
    </r>
  </si>
  <si>
    <r>
      <rPr>
        <b/>
        <sz val="11"/>
        <color indexed="63"/>
        <rFont val="Palatino Linotype"/>
        <family val="1"/>
      </rPr>
      <t xml:space="preserve">Hiking &amp; Walking
</t>
    </r>
    <r>
      <rPr>
        <sz val="9"/>
        <color indexed="63"/>
        <rFont val="Palatino Linotype"/>
        <family val="1"/>
      </rPr>
      <t xml:space="preserve">(8:15@ Larkey Park Swim Ctr., WC)
</t>
    </r>
    <r>
      <rPr>
        <b/>
        <sz val="11"/>
        <color indexed="63"/>
        <rFont val="Palatino Linotype"/>
        <family val="1"/>
      </rPr>
      <t>Pickleball</t>
    </r>
    <r>
      <rPr>
        <sz val="9"/>
        <color indexed="63"/>
        <rFont val="Palatino Linotype"/>
        <family val="1"/>
      </rPr>
      <t xml:space="preserve">
(8:00@ WC Tennis, Heather Farms)</t>
    </r>
  </si>
  <si>
    <r>
      <rPr>
        <b/>
        <sz val="11"/>
        <color indexed="63"/>
        <rFont val="Palatino Linotype"/>
        <family val="1"/>
      </rPr>
      <t>Hiking &amp; Walking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(8:15@ Heather Farms Swim Ctr., WC)
</t>
    </r>
    <r>
      <rPr>
        <b/>
        <sz val="11"/>
        <color indexed="63"/>
        <rFont val="Palatino Linotype"/>
        <family val="1"/>
      </rPr>
      <t>Pickleball</t>
    </r>
    <r>
      <rPr>
        <sz val="9"/>
        <color indexed="63"/>
        <rFont val="Palatino Linotype"/>
        <family val="1"/>
      </rPr>
      <t xml:space="preserve">
(8:00@ WC Tennis, Heather Farms)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</si>
  <si>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(9:30@ Canyon Lakes GC)
</t>
    </r>
    <r>
      <rPr>
        <b/>
        <sz val="11"/>
        <color indexed="63"/>
        <rFont val="Palatino Linotype"/>
        <family val="1"/>
      </rPr>
      <t>Book Group 1</t>
    </r>
    <r>
      <rPr>
        <sz val="9"/>
        <color indexed="63"/>
        <rFont val="Palatino Linotype"/>
        <family val="1"/>
      </rPr>
      <t xml:space="preserve">
(10:15 via Zoom)</t>
    </r>
  </si>
  <si>
    <r>
      <rPr>
        <b/>
        <sz val="11"/>
        <color indexed="63"/>
        <rFont val="Palatino Linotype"/>
        <family val="1"/>
      </rPr>
      <t>Book Group 2</t>
    </r>
    <r>
      <rPr>
        <sz val="9"/>
        <color indexed="63"/>
        <rFont val="Palatino Linotype"/>
        <family val="1"/>
      </rPr>
      <t xml:space="preserve">
(11:00 via Zoom)</t>
    </r>
  </si>
  <si>
    <r>
      <rPr>
        <b/>
        <sz val="11"/>
        <color indexed="63"/>
        <rFont val="Palatino Linotype"/>
        <family val="1"/>
      </rPr>
      <t>Fishing Group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(8:30 via Zoom)</t>
    </r>
  </si>
  <si>
    <r>
      <rPr>
        <b/>
        <sz val="11"/>
        <color indexed="63"/>
        <rFont val="Palatino Linotype"/>
        <family val="1"/>
      </rPr>
      <t>Computer &amp; Tech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(9:30 via Zoom)</t>
    </r>
  </si>
  <si>
    <r>
      <rPr>
        <b/>
        <sz val="11"/>
        <color indexed="63"/>
        <rFont val="Palatino Linotype"/>
        <family val="1"/>
      </rPr>
      <t xml:space="preserve">9-Hole Golf
</t>
    </r>
    <r>
      <rPr>
        <sz val="9"/>
        <color indexed="63"/>
        <rFont val="Palatino Linotype"/>
        <family val="1"/>
      </rPr>
      <t>(10:00@ TBD)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</si>
  <si>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(9:35@ Boundary Oak GC )</t>
    </r>
  </si>
  <si>
    <r>
      <rPr>
        <b/>
        <sz val="11"/>
        <color indexed="63"/>
        <rFont val="Palatino Linotype"/>
        <family val="1"/>
      </rPr>
      <t xml:space="preserve">18-Hole Golf
</t>
    </r>
    <r>
      <rPr>
        <sz val="9"/>
        <color indexed="63"/>
        <rFont val="Palatino Linotype"/>
        <family val="1"/>
      </rPr>
      <t>(9:30@ San Ramon GC)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</si>
  <si>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(10:03@ Paradise Valley GC )</t>
    </r>
  </si>
  <si>
    <r>
      <rPr>
        <b/>
        <sz val="11"/>
        <color indexed="63"/>
        <rFont val="Palatino Linotype"/>
        <family val="1"/>
      </rPr>
      <t>Hiking &amp; Walking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(8:15@ Osage Station Park, Danville)
</t>
    </r>
    <r>
      <rPr>
        <b/>
        <sz val="11"/>
        <color indexed="63"/>
        <rFont val="Palatino Linotype"/>
        <family val="1"/>
      </rPr>
      <t>Pickleball</t>
    </r>
    <r>
      <rPr>
        <sz val="9"/>
        <color indexed="63"/>
        <rFont val="Palatino Linotype"/>
        <family val="1"/>
      </rPr>
      <t xml:space="preserve">
(8:00@ WC Tennis, Heather Farms)</t>
    </r>
  </si>
  <si>
    <r>
      <rPr>
        <b/>
        <sz val="11"/>
        <color indexed="63"/>
        <rFont val="Palatino Linotype"/>
        <family val="1"/>
      </rPr>
      <t>Hiking &amp; Walking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(8:15@ Moraga Commons parking lot off St Mary’s Road)
</t>
    </r>
    <r>
      <rPr>
        <b/>
        <sz val="11"/>
        <color indexed="63"/>
        <rFont val="Palatino Linotype"/>
        <family val="1"/>
      </rPr>
      <t>Pickleball</t>
    </r>
    <r>
      <rPr>
        <sz val="9"/>
        <color indexed="63"/>
        <rFont val="Palatino Linotype"/>
        <family val="1"/>
      </rPr>
      <t xml:space="preserve">
(8:00@ WC Tennis, Heather Farms)</t>
    </r>
  </si>
  <si>
    <r>
      <rPr>
        <b/>
        <sz val="11"/>
        <color indexed="63"/>
        <rFont val="Palatino Linotype"/>
        <family val="1"/>
      </rPr>
      <t>Fishing Group</t>
    </r>
    <r>
      <rPr>
        <sz val="9"/>
        <color indexed="63"/>
        <rFont val="Palatino Linotype"/>
        <family val="1"/>
      </rPr>
      <t xml:space="preserve">
(8:30@ via Zoom)</t>
    </r>
  </si>
  <si>
    <r>
      <rPr>
        <b/>
        <sz val="11"/>
        <color indexed="63"/>
        <rFont val="Palatino Linotype"/>
        <family val="1"/>
      </rPr>
      <t xml:space="preserve">Computer &amp; Tech
</t>
    </r>
    <r>
      <rPr>
        <sz val="9"/>
        <color indexed="63"/>
        <rFont val="Palatino Linotype"/>
        <family val="1"/>
      </rPr>
      <t>(9:30@ via Zoom)</t>
    </r>
    <r>
      <rPr>
        <b/>
        <sz val="11"/>
        <color indexed="63"/>
        <rFont val="Palatino Linotype"/>
        <family val="1"/>
      </rPr>
      <t xml:space="preserve">
Book Group 2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(11:00@ via Zoom)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</si>
  <si>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Special Event)</t>
    </r>
  </si>
  <si>
    <r>
      <rPr>
        <b/>
        <sz val="11"/>
        <rFont val="Arial"/>
        <family val="1"/>
      </rPr>
      <t>18-Hole Golf</t>
    </r>
    <r>
      <rPr>
        <sz val="11"/>
        <rFont val="Arial"/>
        <family val="1"/>
      </rPr>
      <t xml:space="preserve">
</t>
    </r>
    <r>
      <rPr>
        <sz val="9"/>
        <rFont val="Arial"/>
        <family val="1"/>
      </rPr>
      <t>(9:35@ Boundary Oak GC )</t>
    </r>
  </si>
  <si>
    <r>
      <rPr>
        <b/>
        <sz val="11"/>
        <rFont val="Palatino Linotype"/>
        <family val="1"/>
      </rPr>
      <t>18-Hole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(10:06@ Hiddenbrooke GC)</t>
    </r>
  </si>
  <si>
    <r>
      <rPr>
        <b/>
        <sz val="11"/>
        <rFont val="Arial"/>
        <family val="1"/>
      </rPr>
      <t xml:space="preserve">9-Hole Golf
</t>
    </r>
    <r>
      <rPr>
        <sz val="9"/>
        <rFont val="Arial"/>
        <family val="1"/>
      </rPr>
      <t>(10:00@ Pleasanton GC)</t>
    </r>
  </si>
  <si>
    <r>
      <rPr>
        <b/>
        <sz val="11"/>
        <rFont val="Palatino Linotype"/>
        <family val="1"/>
      </rPr>
      <t>9-Hole Golf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>(10:00@ Buchanan Fields)</t>
    </r>
  </si>
  <si>
    <t>Halloween</t>
  </si>
  <si>
    <r>
      <rPr>
        <b/>
        <sz val="11"/>
        <rFont val="Arial"/>
        <family val="1"/>
      </rPr>
      <t>Fishing Group</t>
    </r>
    <r>
      <rPr>
        <sz val="11"/>
        <rFont val="Arial"/>
        <family val="1"/>
      </rPr>
      <t xml:space="preserve">
</t>
    </r>
    <r>
      <rPr>
        <sz val="9"/>
        <rFont val="Arial"/>
        <family val="1"/>
      </rPr>
      <t>(8:30@ via Zoom)</t>
    </r>
  </si>
  <si>
    <r>
      <rPr>
        <b/>
        <sz val="11"/>
        <rFont val="Arial"/>
        <family val="1"/>
      </rPr>
      <t>18-Hole Golf</t>
    </r>
    <r>
      <rPr>
        <sz val="11"/>
        <rFont val="Arial"/>
        <family val="1"/>
      </rPr>
      <t xml:space="preserve">
</t>
    </r>
    <r>
      <rPr>
        <sz val="9"/>
        <rFont val="Arial"/>
        <family val="1"/>
      </rPr>
      <t xml:space="preserve">(9:35@ Boundary Oak GC )
</t>
    </r>
    <r>
      <rPr>
        <b/>
        <sz val="11"/>
        <rFont val="Arial"/>
        <family val="2"/>
      </rPr>
      <t>Book Group 1</t>
    </r>
    <r>
      <rPr>
        <sz val="9"/>
        <rFont val="Arial"/>
        <family val="1"/>
      </rPr>
      <t xml:space="preserve">
(10:15@ via Zoom)</t>
    </r>
  </si>
  <si>
    <r>
      <rPr>
        <b/>
        <sz val="11"/>
        <rFont val="Arial"/>
        <family val="1"/>
      </rPr>
      <t>Computer &amp; Tech</t>
    </r>
    <r>
      <rPr>
        <sz val="11"/>
        <rFont val="Arial"/>
        <family val="1"/>
      </rPr>
      <t xml:space="preserve">
</t>
    </r>
    <r>
      <rPr>
        <sz val="9"/>
        <rFont val="Arial"/>
        <family val="1"/>
      </rPr>
      <t xml:space="preserve">(9:30@ via Zoom)
</t>
    </r>
    <r>
      <rPr>
        <b/>
        <sz val="11"/>
        <rFont val="Arial"/>
        <family val="2"/>
      </rPr>
      <t>Book Group 2</t>
    </r>
    <r>
      <rPr>
        <sz val="9"/>
        <rFont val="Arial"/>
        <family val="1"/>
      </rPr>
      <t xml:space="preserve">
(11:00@ via Zoom)</t>
    </r>
  </si>
  <si>
    <r>
      <rPr>
        <b/>
        <sz val="11"/>
        <rFont val="Arial"/>
        <family val="1"/>
      </rPr>
      <t>18-Hole Golf</t>
    </r>
    <r>
      <rPr>
        <sz val="11"/>
        <rFont val="Arial"/>
        <family val="1"/>
      </rPr>
      <t xml:space="preserve">
</t>
    </r>
    <r>
      <rPr>
        <sz val="9"/>
        <rFont val="Arial"/>
        <family val="1"/>
      </rPr>
      <t xml:space="preserve">(10:00@ Brentwood GC)
</t>
    </r>
    <r>
      <rPr>
        <b/>
        <sz val="11"/>
        <rFont val="Arial"/>
        <family val="1"/>
      </rPr>
      <t>Book Group 1</t>
    </r>
    <r>
      <rPr>
        <sz val="9"/>
        <rFont val="Arial"/>
        <family val="1"/>
      </rPr>
      <t xml:space="preserve">
(10:15@ via Zoom)</t>
    </r>
  </si>
  <si>
    <r>
      <rPr>
        <b/>
        <sz val="11"/>
        <rFont val="Palatino Linotype"/>
        <family val="1"/>
      </rPr>
      <t>Hiking &amp; Walking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(8:15@ Martinez Regional Park)
</t>
    </r>
    <r>
      <rPr>
        <b/>
        <sz val="11"/>
        <rFont val="Palatino Linotype"/>
        <family val="1"/>
      </rPr>
      <t>Pickleball</t>
    </r>
    <r>
      <rPr>
        <sz val="9"/>
        <rFont val="Palatino Linotype"/>
        <family val="1"/>
      </rPr>
      <t xml:space="preserve">
(8:00@ WC Tennis, Heather Farms)</t>
    </r>
  </si>
  <si>
    <r>
      <rPr>
        <b/>
        <sz val="11"/>
        <rFont val="Palatino Linotype"/>
        <family val="1"/>
      </rPr>
      <t>Hiking &amp; Walking</t>
    </r>
    <r>
      <rPr>
        <sz val="11"/>
        <rFont val="Palatino Linotype"/>
        <family val="1"/>
      </rPr>
      <t xml:space="preserve">
</t>
    </r>
    <r>
      <rPr>
        <sz val="9"/>
        <rFont val="Palatino Linotype"/>
        <family val="1"/>
      </rPr>
      <t xml:space="preserve">(8:15@ Osage Station Park, Danville)
</t>
    </r>
    <r>
      <rPr>
        <b/>
        <sz val="11"/>
        <rFont val="Palatino Linotype"/>
        <family val="1"/>
      </rPr>
      <t>Pickleball</t>
    </r>
    <r>
      <rPr>
        <sz val="9"/>
        <rFont val="Palatino Linotype"/>
        <family val="1"/>
      </rPr>
      <t xml:space="preserve">
(8:00@ WC Tennis, Heather Farms)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</si>
  <si>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(09:30@ San Ramon GC)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</si>
  <si>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(10:03@ Rancho Solano GC 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</si>
  <si>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(9:32@ Boundary Oak)</t>
    </r>
  </si>
  <si>
    <r>
      <rPr>
        <b/>
        <u/>
        <sz val="20"/>
        <color indexed="10"/>
        <rFont val="Palatino Linotype"/>
        <family val="1"/>
      </rPr>
      <t>SIR Br. 116 Meeting</t>
    </r>
    <r>
      <rPr>
        <b/>
        <sz val="9"/>
        <color indexed="10"/>
        <rFont val="Palatino Linotype"/>
        <family val="1"/>
      </rPr>
      <t xml:space="preserve">
</t>
    </r>
    <r>
      <rPr>
        <sz val="9"/>
        <color indexed="10"/>
        <rFont val="Palatino Linotype"/>
        <family val="1"/>
      </rPr>
      <t>(11:30 via Zoom)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</si>
  <si>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TBD)</t>
    </r>
    <r>
      <rPr>
        <sz val="10"/>
        <color indexed="63"/>
        <rFont val="Palatino Linotype"/>
        <family val="1"/>
      </rPr>
      <t xml:space="preserve">
</t>
    </r>
    <r>
      <rPr>
        <b/>
        <sz val="11"/>
        <color indexed="63"/>
        <rFont val="Palatino Linotype"/>
        <family val="1"/>
      </rPr>
      <t>$ums Investment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(8:00 via Zoom)</t>
    </r>
  </si>
  <si>
    <r>
      <rPr>
        <b/>
        <sz val="11"/>
        <color indexed="63"/>
        <rFont val="Palatino Linotype"/>
        <family val="1"/>
      </rPr>
      <t>Computer &amp; Tech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(9:30 via Zoom)
</t>
    </r>
    <r>
      <rPr>
        <b/>
        <sz val="11"/>
        <color indexed="63"/>
        <rFont val="Palatino Linotype"/>
        <family val="1"/>
      </rPr>
      <t>Fishing Group</t>
    </r>
    <r>
      <rPr>
        <sz val="9"/>
        <color indexed="63"/>
        <rFont val="Palatino Linotype"/>
        <family val="1"/>
      </rPr>
      <t xml:space="preserve">
(8:30 via Zoom)
</t>
    </r>
    <r>
      <rPr>
        <b/>
        <sz val="11"/>
        <color indexed="63"/>
        <rFont val="Palatino Linotype"/>
        <family val="1"/>
      </rPr>
      <t>Book Group 2</t>
    </r>
    <r>
      <rPr>
        <sz val="9"/>
        <color indexed="63"/>
        <rFont val="Palatino Linotype"/>
        <family val="1"/>
      </rPr>
      <t xml:space="preserve">
(11:00 via Zoom)</t>
    </r>
  </si>
  <si>
    <r>
      <rPr>
        <b/>
        <sz val="11"/>
        <color indexed="63"/>
        <rFont val="Palatino Linotype"/>
        <family val="1"/>
      </rPr>
      <t>Book Group 1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(10:15 via Zoom)</t>
    </r>
  </si>
  <si>
    <r>
      <rPr>
        <b/>
        <sz val="11"/>
        <color indexed="63"/>
        <rFont val="Palatino Linotype"/>
        <family val="1"/>
      </rPr>
      <t>Hiking &amp; Walking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(8:15@Arbolado Park, WC)
</t>
    </r>
    <r>
      <rPr>
        <b/>
        <sz val="11"/>
        <color indexed="63"/>
        <rFont val="Palatino Linotype"/>
        <family val="1"/>
      </rPr>
      <t>Pickleball</t>
    </r>
    <r>
      <rPr>
        <sz val="9"/>
        <color indexed="63"/>
        <rFont val="Palatino Linotype"/>
        <family val="1"/>
      </rPr>
      <t xml:space="preserve">
(8:00@ Heather Farms)</t>
    </r>
  </si>
  <si>
    <r>
      <rPr>
        <b/>
        <sz val="11"/>
        <color indexed="63"/>
        <rFont val="Palatino Linotype"/>
        <family val="1"/>
      </rPr>
      <t>Pickleball</t>
    </r>
    <r>
      <rPr>
        <sz val="9"/>
        <color indexed="63"/>
        <rFont val="Palatino Linotype"/>
        <family val="1"/>
      </rPr>
      <t xml:space="preserve">
(8:00@ Heather Farms)</t>
    </r>
  </si>
  <si>
    <r>
      <t xml:space="preserve">
</t>
    </r>
    <r>
      <rPr>
        <b/>
        <sz val="22"/>
        <color indexed="10"/>
        <rFont val="Palatino Linotype"/>
        <family val="1"/>
      </rPr>
      <t>Christmas</t>
    </r>
  </si>
  <si>
    <r>
      <rPr>
        <b/>
        <sz val="11"/>
        <color indexed="63"/>
        <rFont val="Palatino Linotype"/>
        <family val="1"/>
      </rPr>
      <t>Computer &amp; Tech</t>
    </r>
    <r>
      <rPr>
        <sz val="9"/>
        <color indexed="63"/>
        <rFont val="Palatino Linotype"/>
        <family val="1"/>
      </rPr>
      <t xml:space="preserve">
(9:30 via Zoom)
</t>
    </r>
    <r>
      <rPr>
        <b/>
        <sz val="11"/>
        <color indexed="63"/>
        <rFont val="Palatino Linotype"/>
        <family val="1"/>
      </rPr>
      <t>Fishing Group</t>
    </r>
    <r>
      <rPr>
        <sz val="9"/>
        <color indexed="63"/>
        <rFont val="Palatino Linotype"/>
        <family val="1"/>
      </rPr>
      <t xml:space="preserve">
(8:30 via Zoom)
</t>
    </r>
    <r>
      <rPr>
        <b/>
        <sz val="11"/>
        <color indexed="63"/>
        <rFont val="Palatino Linotype"/>
        <family val="1"/>
      </rPr>
      <t>Book Group 2</t>
    </r>
    <r>
      <rPr>
        <sz val="9"/>
        <color indexed="63"/>
        <rFont val="Palatino Linotype"/>
        <family val="1"/>
      </rPr>
      <t xml:space="preserve">
(11:00 via Zoom)</t>
    </r>
  </si>
  <si>
    <r>
      <rPr>
        <b/>
        <sz val="16"/>
        <color indexed="10"/>
        <rFont val="Palatino Linotype"/>
        <family val="1"/>
      </rPr>
      <t>SIR Br. 116 "Social" Meeting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(12:00 via Zoom)</t>
    </r>
  </si>
  <si>
    <r>
      <rPr>
        <b/>
        <u/>
        <sz val="20"/>
        <color indexed="10"/>
        <rFont val="Palatino Linotype"/>
        <family val="1"/>
      </rPr>
      <t>SIR Br.116 Meeting</t>
    </r>
    <r>
      <rPr>
        <b/>
        <sz val="9"/>
        <color indexed="10"/>
        <rFont val="Palatino Linotype"/>
        <family val="1"/>
      </rPr>
      <t xml:space="preserve">
</t>
    </r>
    <r>
      <rPr>
        <sz val="9"/>
        <color indexed="10"/>
        <rFont val="Palatino Linotype"/>
        <family val="1"/>
      </rPr>
      <t>(12:00 via Zoom)</t>
    </r>
  </si>
  <si>
    <r>
      <t xml:space="preserve">Book Group 1
</t>
    </r>
    <r>
      <rPr>
        <sz val="9"/>
        <color indexed="63"/>
        <rFont val="Palatino Linotype"/>
        <family val="1"/>
      </rPr>
      <t>(10:15 via Zoom)</t>
    </r>
  </si>
  <si>
    <r>
      <rPr>
        <b/>
        <sz val="11"/>
        <color indexed="63"/>
        <rFont val="Palatino Linotype"/>
        <family val="1"/>
      </rPr>
      <t>Book Group 1</t>
    </r>
    <r>
      <rPr>
        <sz val="9"/>
        <color indexed="63"/>
        <rFont val="Palatino Linotype"/>
        <family val="1"/>
      </rPr>
      <t xml:space="preserve">
(10:15 via Zoom)</t>
    </r>
  </si>
  <si>
    <r>
      <rPr>
        <sz val="3"/>
        <color indexed="63"/>
        <rFont val="Palatino Linotype"/>
        <family val="1"/>
      </rPr>
      <t xml:space="preserve">
</t>
    </r>
    <r>
      <rPr>
        <b/>
        <u/>
        <sz val="16"/>
        <color indexed="10"/>
        <rFont val="Palatino Linotype"/>
        <family val="1"/>
      </rPr>
      <t>SIR Br. 116 Meeting</t>
    </r>
    <r>
      <rPr>
        <b/>
        <sz val="9"/>
        <color indexed="10"/>
        <rFont val="Palatino Linotype"/>
        <family val="1"/>
      </rPr>
      <t xml:space="preserve">
</t>
    </r>
    <r>
      <rPr>
        <sz val="9"/>
        <color indexed="10"/>
        <rFont val="Palatino Linotype"/>
        <family val="1"/>
      </rPr>
      <t>(11:30 via Zoom)</t>
    </r>
    <r>
      <rPr>
        <sz val="3"/>
        <color indexed="63"/>
        <rFont val="Palatino Linotype"/>
        <family val="1"/>
      </rPr>
      <t xml:space="preserve">
</t>
    </r>
    <r>
      <rPr>
        <b/>
        <sz val="12"/>
        <color indexed="63"/>
        <rFont val="Palatino Linotype"/>
        <family val="1"/>
      </rPr>
      <t>President's Day Holiday</t>
    </r>
  </si>
  <si>
    <r>
      <rPr>
        <b/>
        <sz val="11"/>
        <color indexed="63"/>
        <rFont val="Palatino Linotype"/>
        <family val="1"/>
      </rPr>
      <t>Computer &amp; Tech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(9:30 via Zoom)</t>
    </r>
    <r>
      <rPr>
        <sz val="10"/>
        <color indexed="63"/>
        <rFont val="Palatino Linotype"/>
        <family val="1"/>
      </rPr>
      <t xml:space="preserve">
</t>
    </r>
    <r>
      <rPr>
        <b/>
        <sz val="11"/>
        <color indexed="63"/>
        <rFont val="Palatino Linotype"/>
        <family val="1"/>
      </rPr>
      <t>Book Group 2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(11:00 via Zoom)</t>
    </r>
  </si>
  <si>
    <t>Valintines Day</t>
  </si>
  <si>
    <r>
      <rPr>
        <b/>
        <sz val="11"/>
        <color indexed="63"/>
        <rFont val="Palatino Linotype"/>
        <family val="1"/>
      </rPr>
      <t xml:space="preserve">9-Hole Golf
</t>
    </r>
    <r>
      <rPr>
        <sz val="9"/>
        <color indexed="63"/>
        <rFont val="Palatino Linotype"/>
        <family val="1"/>
      </rPr>
      <t>(10:00@ Diablo Hills GC)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</si>
  <si>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Brentwood GC)</t>
    </r>
  </si>
  <si>
    <r>
      <rPr>
        <b/>
        <sz val="11"/>
        <color indexed="63"/>
        <rFont val="Palatino Linotype"/>
        <family val="1"/>
      </rPr>
      <t xml:space="preserve">18-Hole Golf
</t>
    </r>
    <r>
      <rPr>
        <sz val="9"/>
        <color indexed="63"/>
        <rFont val="Palatino Linotype"/>
        <family val="1"/>
      </rPr>
      <t>(TBD@ San Ramon GC)</t>
    </r>
  </si>
  <si>
    <r>
      <rPr>
        <b/>
        <sz val="11"/>
        <color indexed="63"/>
        <rFont val="Palatino Linotype"/>
        <family val="1"/>
      </rPr>
      <t>9-Hole Golf</t>
    </r>
    <r>
      <rPr>
        <sz val="12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Diablo Hills GC)</t>
    </r>
    <r>
      <rPr>
        <sz val="12"/>
        <color indexed="63"/>
        <rFont val="Palatino Linotype"/>
        <family val="1"/>
      </rPr>
      <t xml:space="preserve">
</t>
    </r>
    <r>
      <rPr>
        <b/>
        <sz val="11"/>
        <color indexed="63"/>
        <rFont val="Palatino Linotype"/>
        <family val="1"/>
      </rPr>
      <t>$ums Investment</t>
    </r>
    <r>
      <rPr>
        <sz val="12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(1:30 via Zoom)</t>
    </r>
  </si>
  <si>
    <r>
      <rPr>
        <b/>
        <u/>
        <sz val="18"/>
        <color indexed="10"/>
        <rFont val="Palatino Linotype"/>
        <family val="1"/>
      </rPr>
      <t>SIR Br. 116 Meeting</t>
    </r>
    <r>
      <rPr>
        <b/>
        <sz val="9"/>
        <color indexed="10"/>
        <rFont val="Palatino Linotype"/>
        <family val="1"/>
      </rPr>
      <t xml:space="preserve">
</t>
    </r>
    <r>
      <rPr>
        <sz val="9"/>
        <color indexed="10"/>
        <rFont val="Palatino Linotype"/>
        <family val="1"/>
      </rPr>
      <t>(11:30 via Zoom)</t>
    </r>
    <r>
      <rPr>
        <sz val="3"/>
        <color indexed="63"/>
        <rFont val="Palatino Linotype"/>
        <family val="1"/>
      </rPr>
      <t xml:space="preserve">
</t>
    </r>
  </si>
  <si>
    <r>
      <rPr>
        <b/>
        <sz val="11"/>
        <color indexed="63"/>
        <rFont val="Palatino Linotype"/>
        <family val="1"/>
      </rPr>
      <t>9-Hole Golf</t>
    </r>
    <r>
      <rPr>
        <sz val="9"/>
        <color indexed="63"/>
        <rFont val="Palatino Linotype"/>
        <family val="1"/>
      </rPr>
      <t xml:space="preserve">
TBD@ Rossmoor CC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</si>
  <si>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Lone Tree GC)</t>
    </r>
    <r>
      <rPr>
        <sz val="10"/>
        <color indexed="63"/>
        <rFont val="Palatino Linotype"/>
        <family val="1"/>
      </rPr>
      <t xml:space="preserve">
</t>
    </r>
    <r>
      <rPr>
        <b/>
        <sz val="11"/>
        <color indexed="63"/>
        <rFont val="Palatino Linotype"/>
        <family val="1"/>
      </rPr>
      <t>Book Group 1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(10:15 via Zoom)</t>
    </r>
  </si>
  <si>
    <r>
      <rPr>
        <b/>
        <sz val="11"/>
        <color indexed="63"/>
        <rFont val="Palatino Linotype"/>
        <family val="1"/>
      </rPr>
      <t>Book Group 2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(11:00 via Zoom)</t>
    </r>
  </si>
  <si>
    <r>
      <rPr>
        <b/>
        <sz val="11"/>
        <color indexed="63"/>
        <rFont val="Palatino Linotype"/>
        <family val="1"/>
      </rPr>
      <t xml:space="preserve">
9-Hole Golf
</t>
    </r>
    <r>
      <rPr>
        <sz val="9"/>
        <color indexed="63"/>
        <rFont val="Palatino Linotype"/>
        <family val="1"/>
      </rPr>
      <t>(10:00@ Buchanan Fields GC)</t>
    </r>
  </si>
  <si>
    <r>
      <rPr>
        <b/>
        <sz val="11"/>
        <color indexed="63"/>
        <rFont val="Palatino Linotype"/>
        <family val="1"/>
      </rPr>
      <t>9-Hole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 xml:space="preserve">(10:00@ Brentwood GC)
</t>
    </r>
    <r>
      <rPr>
        <b/>
        <sz val="11"/>
        <color indexed="63"/>
        <rFont val="Palatino Linotype"/>
        <family val="1"/>
      </rPr>
      <t>$ums Investment</t>
    </r>
    <r>
      <rPr>
        <sz val="9"/>
        <color indexed="63"/>
        <rFont val="Palatino Linotype"/>
        <family val="1"/>
      </rPr>
      <t xml:space="preserve">
(8:00@ Diablo Creek GC)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</si>
  <si>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(9:45@ Boundary Oak GC 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</si>
  <si>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(9:00@ Hidddenbrook GC)</t>
    </r>
  </si>
  <si>
    <r>
      <rPr>
        <b/>
        <sz val="11"/>
        <color indexed="63"/>
        <rFont val="Palatino Linotype"/>
        <family val="1"/>
      </rPr>
      <t xml:space="preserve">Book Group 1
</t>
    </r>
    <r>
      <rPr>
        <sz val="9"/>
        <color rgb="FF4B4B4B"/>
        <rFont val="Palatino Linotype"/>
        <family val="1"/>
      </rPr>
      <t>(11:15 via Zoom)</t>
    </r>
    <r>
      <rPr>
        <b/>
        <sz val="11"/>
        <color indexed="63"/>
        <rFont val="Palatino Linotype"/>
        <family val="1"/>
      </rPr>
      <t xml:space="preserve">
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Las Positas GC )</t>
    </r>
  </si>
  <si>
    <t>Tax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</si>
</sst>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68" x14ac:knownFonts="1">
    <font>
      <sz val="11"/>
      <name val="Arial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Palatino Linotype"/>
      <family val="1"/>
    </font>
    <font>
      <sz val="10"/>
      <color indexed="63"/>
      <name val="Palatino Linotype"/>
      <family val="1"/>
    </font>
    <font>
      <b/>
      <sz val="11"/>
      <name val="Palatino Linotype"/>
      <family val="1"/>
    </font>
    <font>
      <b/>
      <sz val="11"/>
      <color indexed="63"/>
      <name val="Palatino Linotype"/>
      <family val="1"/>
    </font>
    <font>
      <sz val="9"/>
      <color indexed="63"/>
      <name val="Palatino Linotype"/>
      <family val="1"/>
    </font>
    <font>
      <b/>
      <sz val="12"/>
      <color indexed="63"/>
      <name val="Palatino Linotype"/>
      <family val="1"/>
    </font>
    <font>
      <sz val="9"/>
      <name val="Palatino Linotype"/>
      <family val="1"/>
    </font>
    <font>
      <sz val="3"/>
      <color indexed="63"/>
      <name val="Palatino Linotype"/>
      <family val="1"/>
    </font>
    <font>
      <b/>
      <u/>
      <sz val="16"/>
      <color indexed="10"/>
      <name val="Palatino Linotype"/>
      <family val="1"/>
    </font>
    <font>
      <u/>
      <sz val="16"/>
      <color indexed="10"/>
      <name val="Palatino Linotype"/>
      <family val="1"/>
    </font>
    <font>
      <b/>
      <sz val="9"/>
      <color indexed="10"/>
      <name val="Palatino Linotype"/>
      <family val="1"/>
    </font>
    <font>
      <b/>
      <sz val="22"/>
      <color indexed="10"/>
      <name val="Palatino Linotype"/>
      <family val="1"/>
    </font>
    <font>
      <b/>
      <sz val="14"/>
      <color indexed="10"/>
      <name val="Palatino Linotype"/>
      <family val="1"/>
    </font>
    <font>
      <b/>
      <u/>
      <sz val="20"/>
      <color indexed="10"/>
      <name val="Palatino Linotype"/>
      <family val="1"/>
    </font>
    <font>
      <sz val="9"/>
      <color indexed="10"/>
      <name val="Palatino Linotype"/>
      <family val="1"/>
    </font>
    <font>
      <b/>
      <sz val="16"/>
      <color indexed="10"/>
      <name val="Palatino Linotype"/>
      <family val="1"/>
    </font>
    <font>
      <b/>
      <sz val="11"/>
      <name val="Arial"/>
      <family val="1"/>
    </font>
    <font>
      <sz val="11"/>
      <name val="Arial"/>
      <family val="1"/>
    </font>
    <font>
      <sz val="9"/>
      <name val="Arial"/>
      <family val="1"/>
    </font>
    <font>
      <sz val="11"/>
      <name val="Palatino Linotype"/>
      <family val="1"/>
    </font>
    <font>
      <b/>
      <sz val="11"/>
      <name val="Palatino Linotype"/>
      <family val="1"/>
    </font>
    <font>
      <sz val="10"/>
      <name val="Palatino Linotype"/>
      <family val="1"/>
    </font>
    <font>
      <b/>
      <sz val="12"/>
      <name val="Palatino Linotype"/>
      <family val="1"/>
    </font>
    <font>
      <b/>
      <u/>
      <sz val="18"/>
      <color indexed="10"/>
      <name val="Palatino Linotype"/>
      <family val="1"/>
    </font>
    <font>
      <sz val="12"/>
      <color indexed="63"/>
      <name val="Palatino Linotype"/>
      <family val="1"/>
    </font>
    <font>
      <b/>
      <sz val="11"/>
      <name val="Arial"/>
      <family val="2"/>
    </font>
    <font>
      <b/>
      <sz val="28"/>
      <name val="Palatino Linotype"/>
      <family val="1"/>
    </font>
    <font>
      <b/>
      <sz val="28"/>
      <color theme="1" tint="0.34998626667073579"/>
      <name val="Arial"/>
      <family val="2"/>
      <scheme val="minor"/>
    </font>
    <font>
      <b/>
      <sz val="11"/>
      <color theme="0"/>
      <name val="Arial"/>
      <family val="2"/>
      <scheme val="minor"/>
    </font>
    <font>
      <sz val="14"/>
      <color theme="1" tint="0.34998626667073579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 tint="0.249977111117893"/>
      <name val="Palatino Linotype"/>
      <family val="1"/>
    </font>
    <font>
      <sz val="14"/>
      <color theme="1" tint="0.249977111117893"/>
      <name val="Palatino Linotype"/>
      <family val="1"/>
    </font>
    <font>
      <sz val="11"/>
      <color theme="1" tint="0.249977111117893"/>
      <name val="Palatino Linotype"/>
      <family val="1"/>
    </font>
    <font>
      <b/>
      <sz val="11"/>
      <color theme="1" tint="0.249977111117893"/>
      <name val="Palatino Linotype"/>
      <family val="1"/>
    </font>
    <font>
      <b/>
      <sz val="10"/>
      <color theme="1" tint="0.249977111117893"/>
      <name val="Palatino Linotype"/>
      <family val="1"/>
    </font>
    <font>
      <sz val="11"/>
      <color rgb="FF0070C0"/>
      <name val="Palatino Linotype"/>
      <family val="1"/>
    </font>
    <font>
      <sz val="14"/>
      <color rgb="FF0070C0"/>
      <name val="Palatino Linotype"/>
      <family val="1"/>
    </font>
    <font>
      <sz val="11"/>
      <color rgb="FF000000"/>
      <name val="Palatino Linotype"/>
      <family val="1"/>
    </font>
    <font>
      <b/>
      <sz val="11"/>
      <color rgb="FF000000"/>
      <name val="Palatino Linotype"/>
      <family val="1"/>
    </font>
    <font>
      <b/>
      <sz val="11"/>
      <color theme="0"/>
      <name val="Palatino Linotype"/>
      <family val="1"/>
    </font>
    <font>
      <b/>
      <sz val="14"/>
      <color theme="1" tint="0.249977111117893"/>
      <name val="Palatino Linotype"/>
      <family val="1"/>
    </font>
    <font>
      <b/>
      <sz val="14"/>
      <color rgb="FFFF0000"/>
      <name val="Palatino Linotype"/>
      <family val="1"/>
    </font>
    <font>
      <b/>
      <sz val="24"/>
      <color rgb="FFFF33CC"/>
      <name val="Palatino Linotype"/>
      <family val="1"/>
    </font>
    <font>
      <sz val="9"/>
      <color theme="1" tint="0.249977111117893"/>
      <name val="Palatino Linotype"/>
      <family val="1"/>
    </font>
    <font>
      <b/>
      <sz val="16"/>
      <color theme="1" tint="0.249977111117893"/>
      <name val="Palatino Linotype"/>
      <family val="1"/>
    </font>
    <font>
      <b/>
      <sz val="14"/>
      <color theme="7" tint="-0.249977111117893"/>
      <name val="Palatino Linotype"/>
      <family val="1"/>
    </font>
    <font>
      <sz val="10"/>
      <color rgb="FFFF0000"/>
      <name val="Palatino Linotype"/>
      <family val="1"/>
    </font>
    <font>
      <b/>
      <sz val="22"/>
      <color rgb="FFFF0000"/>
      <name val="Palatino Linotype"/>
      <family val="1"/>
    </font>
    <font>
      <b/>
      <sz val="20"/>
      <color rgb="FFFF0000"/>
      <name val="Palatino Linotype"/>
      <family val="1"/>
    </font>
    <font>
      <sz val="10"/>
      <name val="Arial"/>
      <family val="2"/>
      <scheme val="minor"/>
    </font>
    <font>
      <b/>
      <sz val="12"/>
      <color rgb="FFFF0000"/>
      <name val="Palatino Linotype"/>
      <family val="1"/>
    </font>
    <font>
      <b/>
      <sz val="16"/>
      <color rgb="FFFF0000"/>
      <name val="Palatino Linotype"/>
      <family val="1"/>
    </font>
    <font>
      <sz val="10"/>
      <color rgb="FF9C1024"/>
      <name val="Palatino Linotype"/>
      <family val="1"/>
    </font>
    <font>
      <b/>
      <sz val="10"/>
      <color rgb="FFFF0000"/>
      <name val="Palatino Linotype"/>
      <family val="1"/>
    </font>
    <font>
      <sz val="18"/>
      <color theme="1" tint="0.249977111117893"/>
      <name val="Palatino Linotype"/>
      <family val="1"/>
    </font>
    <font>
      <b/>
      <sz val="16"/>
      <color rgb="FFCC6600"/>
      <name val="Palatino Linotype"/>
      <family val="1"/>
    </font>
    <font>
      <sz val="10"/>
      <name val="Arial"/>
      <family val="1"/>
      <scheme val="minor"/>
    </font>
    <font>
      <b/>
      <sz val="12"/>
      <color theme="1" tint="0.249977111117893"/>
      <name val="Palatino Linotype"/>
      <family val="1"/>
    </font>
    <font>
      <b/>
      <sz val="12"/>
      <color rgb="FF9C0000"/>
      <name val="Palatino Linotype"/>
      <family val="1"/>
    </font>
    <font>
      <sz val="11"/>
      <color theme="0"/>
      <name val="Palatino Linotype"/>
      <family val="1"/>
    </font>
    <font>
      <b/>
      <sz val="28"/>
      <color theme="1" tint="0.34998626667073579"/>
      <name val="Palatino Linotype"/>
      <family val="1"/>
    </font>
    <font>
      <sz val="9"/>
      <color rgb="FF4B4B4B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1223"/>
        <bgColor indexed="64"/>
      </patternFill>
    </fill>
    <fill>
      <patternFill patternType="solid">
        <fgColor rgb="FFC0000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/>
      <bottom style="medium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4506668294322"/>
      </top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medium">
        <color indexed="64"/>
      </left>
      <right style="thin">
        <color theme="4" tint="0.39994506668294322"/>
      </right>
      <top/>
      <bottom style="medium">
        <color theme="4" tint="-0.24994659260841701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indexed="64"/>
      </left>
      <right style="thin">
        <color theme="4" tint="0.39994506668294322"/>
      </right>
      <top/>
      <bottom/>
      <diagonal/>
    </border>
    <border>
      <left style="medium">
        <color theme="4" tint="-0.24994659260841701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medium">
        <color theme="4" tint="-0.24994659260841701"/>
      </right>
      <top/>
      <bottom/>
      <diagonal/>
    </border>
    <border>
      <left style="thin">
        <color rgb="FFBD1223"/>
      </left>
      <right style="thin">
        <color rgb="FFBD1223"/>
      </right>
      <top style="thin">
        <color rgb="FFBD1223"/>
      </top>
      <bottom style="thin">
        <color rgb="FFBD1223"/>
      </bottom>
      <diagonal/>
    </border>
    <border>
      <left style="thin">
        <color rgb="FFBD1223"/>
      </left>
      <right style="thin">
        <color rgb="FFBD1223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 style="thin">
        <color rgb="FFBD1223"/>
      </left>
      <right style="thin">
        <color rgb="FFBD1223"/>
      </right>
      <top/>
      <bottom style="thin">
        <color rgb="FFBD1223"/>
      </bottom>
      <diagonal/>
    </border>
    <border>
      <left/>
      <right style="thin">
        <color theme="4" tint="0.39994506668294322"/>
      </right>
      <top/>
      <bottom style="thin">
        <color rgb="FFBD1223"/>
      </bottom>
      <diagonal/>
    </border>
    <border>
      <left/>
      <right/>
      <top/>
      <bottom style="thin">
        <color rgb="FFBD1223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rgb="FFBD1223"/>
      </bottom>
      <diagonal/>
    </border>
    <border>
      <left style="thin">
        <color theme="4" tint="0.39994506668294322"/>
      </left>
      <right/>
      <top/>
      <bottom style="thin">
        <color rgb="FFBD1223"/>
      </bottom>
      <diagonal/>
    </border>
    <border>
      <left style="thin">
        <color rgb="FFC00000"/>
      </left>
      <right style="thin">
        <color rgb="FFC00000"/>
      </right>
      <top style="thin">
        <color rgb="FFBD1223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theme="4" tint="0.39994506668294322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theme="4" tint="0.39994506668294322"/>
      </right>
      <top style="medium">
        <color rgb="FFC00000"/>
      </top>
      <bottom style="medium">
        <color rgb="FFC00000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rgb="FFC00000"/>
      </top>
      <bottom style="medium">
        <color rgb="FFC00000"/>
      </bottom>
      <diagonal/>
    </border>
    <border>
      <left style="thin">
        <color theme="4" tint="0.39994506668294322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medium">
        <color rgb="FFC00000"/>
      </top>
      <bottom/>
      <diagonal/>
    </border>
    <border>
      <left/>
      <right style="thin">
        <color theme="4" tint="0.39994506668294322"/>
      </right>
      <top/>
      <bottom style="thin">
        <color rgb="FFC00000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rgb="FFC00000"/>
      </bottom>
      <diagonal/>
    </border>
    <border>
      <left style="thin">
        <color theme="4" tint="0.39994506668294322"/>
      </left>
      <right style="thin">
        <color rgb="FFC00000"/>
      </right>
      <top/>
      <bottom style="thin">
        <color rgb="FFC00000"/>
      </bottom>
      <diagonal/>
    </border>
    <border>
      <left style="thin">
        <color theme="4" tint="0.39994506668294322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theme="4" tint="0.39994506668294322"/>
      </left>
      <right style="medium">
        <color theme="4" tint="-0.24994659260841701"/>
      </right>
      <top/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rgb="FFC00000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rgb="FFC00000"/>
      </top>
      <bottom/>
      <diagonal/>
    </border>
    <border>
      <left style="thin">
        <color theme="4" tint="0.39994506668294322"/>
      </left>
      <right style="thin">
        <color rgb="FFC00000"/>
      </right>
      <top style="thin">
        <color rgb="FFC00000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rgb="FFC00000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rgb="FFC00000"/>
      </right>
      <top style="thin">
        <color rgb="FFC00000"/>
      </top>
      <bottom style="thin">
        <color theme="4" tint="0.3999450666829432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theme="4" tint="0.39994506668294322"/>
      </right>
      <top style="thin">
        <color rgb="FFC00000"/>
      </top>
      <bottom style="thin">
        <color rgb="FFC00000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rgb="FFC00000"/>
      </top>
      <bottom style="thin">
        <color rgb="FFC00000"/>
      </bottom>
      <diagonal/>
    </border>
    <border>
      <left style="thin">
        <color theme="4" tint="0.39994506668294322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rgb="FFC00000"/>
      </right>
      <top style="thin">
        <color rgb="FFC00000"/>
      </top>
      <bottom/>
      <diagonal/>
    </border>
    <border>
      <left style="medium">
        <color indexed="64"/>
      </left>
      <right style="thin">
        <color rgb="FFC00000"/>
      </right>
      <top/>
      <bottom/>
      <diagonal/>
    </border>
    <border>
      <left/>
      <right style="thin">
        <color theme="4" tint="0.39991454817346722"/>
      </right>
      <top style="thin">
        <color theme="4" tint="0.39994506668294322"/>
      </top>
      <bottom/>
      <diagonal/>
    </border>
    <border>
      <left/>
      <right style="thin">
        <color theme="4" tint="0.39991454817346722"/>
      </right>
      <top/>
      <bottom style="thin">
        <color rgb="FFC00000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rgb="FFC00000"/>
      </bottom>
      <diagonal/>
    </border>
    <border>
      <left/>
      <right/>
      <top style="thin">
        <color theme="4" tint="0.39994506668294322"/>
      </top>
      <bottom/>
      <diagonal/>
    </border>
    <border>
      <left style="thin">
        <color rgb="FFC00000"/>
      </left>
      <right style="thin">
        <color theme="4" tint="0.39994506668294322"/>
      </right>
      <top style="thin">
        <color rgb="FFC00000"/>
      </top>
      <bottom style="thin">
        <color theme="4" tint="0.39994506668294322"/>
      </bottom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theme="4" tint="0.39994506668294322"/>
      </right>
      <top style="thin">
        <color rgb="FFC00000"/>
      </top>
      <bottom style="thin">
        <color rgb="FFC00000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rgb="FFC00000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n">
        <color theme="4" tint="0.39994506668294322"/>
      </right>
      <top style="medium">
        <color rgb="FFC00000"/>
      </top>
      <bottom/>
      <diagonal/>
    </border>
    <border>
      <left style="thin">
        <color rgb="FFC00000"/>
      </left>
      <right style="thin">
        <color rgb="FFC00000"/>
      </right>
      <top style="medium">
        <color theme="4" tint="-0.24994659260841701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thin">
        <color rgb="FFC00000"/>
      </left>
      <right style="thin">
        <color theme="4" tint="0.39994506668294322"/>
      </right>
      <top style="medium">
        <color rgb="FFC00000"/>
      </top>
      <bottom style="thin">
        <color rgb="FFC00000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rgb="FFC00000"/>
      </top>
      <bottom style="thin">
        <color rgb="FFC00000"/>
      </bottom>
      <diagonal/>
    </border>
    <border>
      <left style="thin">
        <color theme="4" tint="0.39994506668294322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theme="4" tint="0.39994506668294322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theme="4" tint="-0.24994659260841701"/>
      </bottom>
      <diagonal/>
    </border>
    <border>
      <left/>
      <right style="thin">
        <color theme="4" tint="0.39994506668294322"/>
      </right>
      <top style="thin">
        <color rgb="FFC00000"/>
      </top>
      <bottom/>
      <diagonal/>
    </border>
    <border>
      <left style="thin">
        <color theme="4" tint="0.39994506668294322"/>
      </left>
      <right/>
      <top style="thin">
        <color rgb="FFC00000"/>
      </top>
      <bottom/>
      <diagonal/>
    </border>
  </borders>
  <cellStyleXfs count="6">
    <xf numFmtId="0" fontId="0" fillId="0" borderId="0"/>
    <xf numFmtId="0" fontId="33" fillId="4" borderId="0" applyNumberFormat="0" applyBorder="0" applyAlignment="0" applyProtection="0"/>
    <xf numFmtId="0" fontId="32" fillId="3" borderId="6" applyNumberFormat="0" applyAlignment="0" applyProtection="0"/>
    <xf numFmtId="0" fontId="34" fillId="5" borderId="7" applyNumberFormat="0" applyProtection="0">
      <alignment vertical="center"/>
    </xf>
    <xf numFmtId="0" fontId="31" fillId="0" borderId="0" applyNumberFormat="0" applyFill="0" applyAlignment="0" applyProtection="0"/>
    <xf numFmtId="0" fontId="35" fillId="0" borderId="0"/>
  </cellStyleXfs>
  <cellXfs count="206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36" fillId="0" borderId="8" xfId="0" applyFont="1" applyFill="1" applyBorder="1" applyAlignment="1">
      <alignment horizontal="left" vertical="center" wrapText="1" indent="1"/>
    </xf>
    <xf numFmtId="0" fontId="36" fillId="4" borderId="9" xfId="1" applyFont="1" applyBorder="1" applyAlignment="1">
      <alignment horizontal="left" vertical="center" wrapText="1" indent="1"/>
    </xf>
    <xf numFmtId="0" fontId="36" fillId="0" borderId="10" xfId="0" applyFont="1" applyFill="1" applyBorder="1" applyAlignment="1">
      <alignment horizontal="left" vertical="center" wrapText="1" indent="1"/>
    </xf>
    <xf numFmtId="0" fontId="37" fillId="4" borderId="9" xfId="1" applyFont="1" applyBorder="1" applyAlignment="1">
      <alignment horizontal="left" vertical="center" wrapText="1" indent="1"/>
    </xf>
    <xf numFmtId="0" fontId="38" fillId="0" borderId="10" xfId="0" applyFont="1" applyFill="1" applyBorder="1" applyAlignment="1">
      <alignment horizontal="left" vertical="center" wrapText="1" indent="1"/>
    </xf>
    <xf numFmtId="0" fontId="6" fillId="2" borderId="0" xfId="0" applyFont="1" applyFill="1"/>
    <xf numFmtId="165" fontId="39" fillId="0" borderId="11" xfId="0" applyNumberFormat="1" applyFont="1" applyFill="1" applyBorder="1" applyAlignment="1">
      <alignment horizontal="left" vertical="center" wrapText="1" indent="1"/>
    </xf>
    <xf numFmtId="0" fontId="6" fillId="0" borderId="0" xfId="0" applyFont="1"/>
    <xf numFmtId="0" fontId="40" fillId="4" borderId="9" xfId="1" applyFont="1" applyBorder="1" applyAlignment="1">
      <alignment horizontal="left" vertical="center" wrapText="1" indent="1"/>
    </xf>
    <xf numFmtId="165" fontId="39" fillId="0" borderId="12" xfId="0" applyNumberFormat="1" applyFont="1" applyFill="1" applyBorder="1" applyAlignment="1">
      <alignment horizontal="left" vertical="center" wrapText="1" indent="1"/>
    </xf>
    <xf numFmtId="0" fontId="0" fillId="0" borderId="0" xfId="0" applyFont="1" applyFill="1" applyBorder="1"/>
    <xf numFmtId="165" fontId="39" fillId="0" borderId="13" xfId="0" applyNumberFormat="1" applyFont="1" applyFill="1" applyBorder="1" applyAlignment="1">
      <alignment horizontal="left" vertical="center" wrapText="1" indent="1"/>
    </xf>
    <xf numFmtId="0" fontId="4" fillId="2" borderId="14" xfId="0" applyFont="1" applyFill="1" applyBorder="1"/>
    <xf numFmtId="165" fontId="39" fillId="2" borderId="15" xfId="0" applyNumberFormat="1" applyFont="1" applyFill="1" applyBorder="1" applyAlignment="1">
      <alignment horizontal="left" vertical="center" wrapText="1" indent="1"/>
    </xf>
    <xf numFmtId="0" fontId="0" fillId="0" borderId="0" xfId="0" applyFont="1"/>
    <xf numFmtId="0" fontId="36" fillId="4" borderId="16" xfId="1" applyFont="1" applyBorder="1" applyAlignment="1">
      <alignment horizontal="left" vertical="center" wrapText="1" indent="1"/>
    </xf>
    <xf numFmtId="0" fontId="6" fillId="2" borderId="1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23" fillId="2" borderId="0" xfId="0" applyFont="1" applyFill="1"/>
    <xf numFmtId="0" fontId="24" fillId="0" borderId="0" xfId="0" applyFont="1"/>
    <xf numFmtId="0" fontId="23" fillId="0" borderId="0" xfId="0" applyFont="1"/>
    <xf numFmtId="0" fontId="41" fillId="2" borderId="0" xfId="0" applyFont="1" applyFill="1"/>
    <xf numFmtId="0" fontId="42" fillId="4" borderId="17" xfId="1" applyFont="1" applyBorder="1" applyAlignment="1">
      <alignment horizontal="right" vertical="center" wrapText="1"/>
    </xf>
    <xf numFmtId="0" fontId="42" fillId="4" borderId="18" xfId="1" applyFont="1" applyBorder="1" applyAlignment="1">
      <alignment vertical="center"/>
    </xf>
    <xf numFmtId="165" fontId="38" fillId="6" borderId="19" xfId="0" applyNumberFormat="1" applyFont="1" applyFill="1" applyBorder="1" applyAlignment="1">
      <alignment horizontal="left" vertical="center" wrapText="1" indent="1"/>
    </xf>
    <xf numFmtId="0" fontId="43" fillId="2" borderId="0" xfId="0" applyFont="1" applyFill="1"/>
    <xf numFmtId="0" fontId="44" fillId="0" borderId="0" xfId="0" applyFont="1"/>
    <xf numFmtId="0" fontId="43" fillId="0" borderId="0" xfId="0" applyFont="1"/>
    <xf numFmtId="0" fontId="4" fillId="2" borderId="3" xfId="0" applyFont="1" applyFill="1" applyBorder="1"/>
    <xf numFmtId="0" fontId="36" fillId="4" borderId="0" xfId="1" applyFont="1" applyBorder="1" applyAlignment="1">
      <alignment horizontal="left" vertical="center" wrapText="1" indent="1"/>
    </xf>
    <xf numFmtId="0" fontId="36" fillId="0" borderId="0" xfId="0" applyFont="1" applyFill="1" applyBorder="1" applyAlignment="1">
      <alignment horizontal="center" vertical="center" wrapText="1"/>
    </xf>
    <xf numFmtId="165" fontId="38" fillId="6" borderId="20" xfId="0" applyNumberFormat="1" applyFont="1" applyFill="1" applyBorder="1" applyAlignment="1">
      <alignment horizontal="left" vertical="center" wrapText="1" indent="1"/>
    </xf>
    <xf numFmtId="165" fontId="38" fillId="2" borderId="15" xfId="0" applyNumberFormat="1" applyFont="1" applyFill="1" applyBorder="1" applyAlignment="1">
      <alignment horizontal="left" vertical="center" wrapText="1" indent="1"/>
    </xf>
    <xf numFmtId="165" fontId="39" fillId="0" borderId="15" xfId="0" applyNumberFormat="1" applyFont="1" applyFill="1" applyBorder="1" applyAlignment="1">
      <alignment horizontal="left" vertical="center" wrapText="1" indent="1"/>
    </xf>
    <xf numFmtId="165" fontId="39" fillId="0" borderId="21" xfId="0" applyNumberFormat="1" applyFont="1" applyFill="1" applyBorder="1" applyAlignment="1">
      <alignment horizontal="left" vertical="center" wrapText="1" indent="1"/>
    </xf>
    <xf numFmtId="0" fontId="6" fillId="2" borderId="22" xfId="0" applyFont="1" applyFill="1" applyBorder="1"/>
    <xf numFmtId="0" fontId="45" fillId="7" borderId="22" xfId="2" applyFont="1" applyFill="1" applyBorder="1" applyAlignment="1">
      <alignment horizontal="center" vertical="center"/>
    </xf>
    <xf numFmtId="165" fontId="39" fillId="0" borderId="23" xfId="0" applyNumberFormat="1" applyFont="1" applyFill="1" applyBorder="1" applyAlignment="1">
      <alignment horizontal="left" vertical="center" wrapText="1" indent="1"/>
    </xf>
    <xf numFmtId="165" fontId="39" fillId="0" borderId="24" xfId="0" applyNumberFormat="1" applyFont="1" applyFill="1" applyBorder="1" applyAlignment="1">
      <alignment horizontal="left" vertical="center" wrapText="1" indent="1"/>
    </xf>
    <xf numFmtId="165" fontId="39" fillId="0" borderId="25" xfId="0" applyNumberFormat="1" applyFont="1" applyFill="1" applyBorder="1" applyAlignment="1">
      <alignment horizontal="left" vertical="center" wrapText="1" indent="1"/>
    </xf>
    <xf numFmtId="0" fontId="36" fillId="0" borderId="26" xfId="1" applyFont="1" applyFill="1" applyBorder="1" applyAlignment="1">
      <alignment horizontal="left" vertical="center" wrapText="1" indent="1"/>
    </xf>
    <xf numFmtId="0" fontId="36" fillId="0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6" fillId="2" borderId="29" xfId="0" applyFont="1" applyFill="1" applyBorder="1" applyAlignment="1">
      <alignment horizontal="center" vertical="center" wrapText="1"/>
    </xf>
    <xf numFmtId="0" fontId="36" fillId="2" borderId="29" xfId="0" applyFont="1" applyFill="1" applyBorder="1" applyAlignment="1">
      <alignment horizontal="left" vertical="center" wrapText="1" indent="1"/>
    </xf>
    <xf numFmtId="0" fontId="36" fillId="2" borderId="30" xfId="0" applyFont="1" applyFill="1" applyBorder="1" applyAlignment="1">
      <alignment horizontal="center" vertical="center" wrapText="1"/>
    </xf>
    <xf numFmtId="0" fontId="46" fillId="0" borderId="26" xfId="1" applyFont="1" applyFill="1" applyBorder="1" applyAlignment="1">
      <alignment horizontal="left" vertical="center" textRotation="90" wrapText="1"/>
    </xf>
    <xf numFmtId="0" fontId="47" fillId="2" borderId="29" xfId="0" applyFont="1" applyFill="1" applyBorder="1" applyAlignment="1">
      <alignment horizontal="center" vertical="center" wrapText="1"/>
    </xf>
    <xf numFmtId="0" fontId="46" fillId="0" borderId="26" xfId="1" applyFont="1" applyFill="1" applyBorder="1" applyAlignment="1">
      <alignment horizontal="center" vertical="center" textRotation="90" wrapText="1"/>
    </xf>
    <xf numFmtId="165" fontId="39" fillId="2" borderId="24" xfId="0" applyNumberFormat="1" applyFont="1" applyFill="1" applyBorder="1" applyAlignment="1">
      <alignment horizontal="left" vertical="center" wrapText="1" indent="1"/>
    </xf>
    <xf numFmtId="165" fontId="39" fillId="2" borderId="25" xfId="0" applyNumberFormat="1" applyFont="1" applyFill="1" applyBorder="1" applyAlignment="1">
      <alignment horizontal="left" vertical="center" wrapText="1" indent="1"/>
    </xf>
    <xf numFmtId="0" fontId="48" fillId="0" borderId="26" xfId="1" applyFont="1" applyFill="1" applyBorder="1" applyAlignment="1">
      <alignment horizontal="center" vertical="center" textRotation="90" wrapText="1"/>
    </xf>
    <xf numFmtId="0" fontId="36" fillId="0" borderId="29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49" fillId="0" borderId="29" xfId="0" applyFont="1" applyFill="1" applyBorder="1" applyAlignment="1">
      <alignment horizontal="center" vertical="center" wrapText="1"/>
    </xf>
    <xf numFmtId="165" fontId="39" fillId="0" borderId="31" xfId="0" applyNumberFormat="1" applyFont="1" applyFill="1" applyBorder="1" applyAlignment="1">
      <alignment horizontal="left" vertical="center" wrapText="1" indent="1"/>
    </xf>
    <xf numFmtId="165" fontId="39" fillId="0" borderId="32" xfId="0" applyNumberFormat="1" applyFont="1" applyFill="1" applyBorder="1" applyAlignment="1">
      <alignment horizontal="left" vertical="center" wrapText="1" indent="1"/>
    </xf>
    <xf numFmtId="165" fontId="39" fillId="0" borderId="33" xfId="0" applyNumberFormat="1" applyFont="1" applyFill="1" applyBorder="1" applyAlignment="1">
      <alignment horizontal="left" vertical="center" wrapText="1" indent="1"/>
    </xf>
    <xf numFmtId="165" fontId="39" fillId="0" borderId="34" xfId="0" applyNumberFormat="1" applyFont="1" applyFill="1" applyBorder="1" applyAlignment="1">
      <alignment horizontal="left" vertical="center" wrapText="1" indent="1"/>
    </xf>
    <xf numFmtId="0" fontId="36" fillId="0" borderId="35" xfId="1" applyFont="1" applyFill="1" applyBorder="1" applyAlignment="1">
      <alignment horizontal="left" vertical="center" wrapText="1" indent="1"/>
    </xf>
    <xf numFmtId="0" fontId="45" fillId="8" borderId="36" xfId="2" applyFont="1" applyFill="1" applyBorder="1" applyAlignment="1">
      <alignment horizontal="center" vertical="center"/>
    </xf>
    <xf numFmtId="0" fontId="45" fillId="8" borderId="37" xfId="2" applyFont="1" applyFill="1" applyBorder="1" applyAlignment="1">
      <alignment horizontal="center" vertical="center"/>
    </xf>
    <xf numFmtId="0" fontId="45" fillId="8" borderId="38" xfId="2" applyFont="1" applyFill="1" applyBorder="1" applyAlignment="1">
      <alignment horizontal="center" vertical="center"/>
    </xf>
    <xf numFmtId="0" fontId="45" fillId="8" borderId="39" xfId="2" applyFont="1" applyFill="1" applyBorder="1" applyAlignment="1">
      <alignment horizontal="center" vertical="center"/>
    </xf>
    <xf numFmtId="165" fontId="39" fillId="0" borderId="40" xfId="0" applyNumberFormat="1" applyFont="1" applyFill="1" applyBorder="1" applyAlignment="1">
      <alignment horizontal="left" vertical="center" indent="1"/>
    </xf>
    <xf numFmtId="0" fontId="45" fillId="8" borderId="41" xfId="2" applyFont="1" applyFill="1" applyBorder="1" applyAlignment="1">
      <alignment horizontal="center" vertical="center"/>
    </xf>
    <xf numFmtId="165" fontId="39" fillId="0" borderId="40" xfId="0" applyNumberFormat="1" applyFont="1" applyFill="1" applyBorder="1" applyAlignment="1">
      <alignment horizontal="left" vertical="center" wrapText="1" indent="1"/>
    </xf>
    <xf numFmtId="0" fontId="36" fillId="0" borderId="42" xfId="0" applyFont="1" applyFill="1" applyBorder="1" applyAlignment="1">
      <alignment horizontal="center" vertical="center" wrapText="1"/>
    </xf>
    <xf numFmtId="0" fontId="36" fillId="2" borderId="43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50" fillId="0" borderId="35" xfId="1" applyFont="1" applyFill="1" applyBorder="1" applyAlignment="1">
      <alignment horizontal="left" vertical="center" textRotation="90" wrapText="1"/>
    </xf>
    <xf numFmtId="0" fontId="36" fillId="2" borderId="45" xfId="0" applyFont="1" applyFill="1" applyBorder="1" applyAlignment="1">
      <alignment horizontal="center" vertical="center" wrapText="1"/>
    </xf>
    <xf numFmtId="0" fontId="51" fillId="0" borderId="35" xfId="1" applyFont="1" applyFill="1" applyBorder="1" applyAlignment="1">
      <alignment horizontal="left" vertical="center" textRotation="90" wrapText="1"/>
    </xf>
    <xf numFmtId="0" fontId="52" fillId="0" borderId="42" xfId="0" applyFont="1" applyFill="1" applyBorder="1" applyAlignment="1">
      <alignment horizontal="center" vertical="center" wrapText="1"/>
    </xf>
    <xf numFmtId="0" fontId="46" fillId="0" borderId="35" xfId="1" applyFont="1" applyFill="1" applyBorder="1" applyAlignment="1">
      <alignment horizontal="left" vertical="center" textRotation="90" wrapText="1"/>
    </xf>
    <xf numFmtId="0" fontId="36" fillId="2" borderId="43" xfId="0" applyFont="1" applyFill="1" applyBorder="1" applyAlignment="1">
      <alignment horizontal="left" vertical="center" wrapText="1" indent="1"/>
    </xf>
    <xf numFmtId="0" fontId="54" fillId="0" borderId="35" xfId="1" applyFont="1" applyFill="1" applyBorder="1" applyAlignment="1">
      <alignment horizontal="center" vertical="center" textRotation="90" wrapText="1"/>
    </xf>
    <xf numFmtId="0" fontId="4" fillId="0" borderId="46" xfId="0" applyFont="1" applyBorder="1" applyAlignment="1">
      <alignment horizontal="center" vertical="center" wrapText="1"/>
    </xf>
    <xf numFmtId="0" fontId="36" fillId="2" borderId="45" xfId="0" applyFont="1" applyFill="1" applyBorder="1" applyAlignment="1">
      <alignment horizontal="left" vertical="center" wrapText="1" indent="1"/>
    </xf>
    <xf numFmtId="0" fontId="36" fillId="0" borderId="47" xfId="1" applyFont="1" applyFill="1" applyBorder="1" applyAlignment="1">
      <alignment horizontal="left" vertical="center" wrapText="1" indent="1"/>
    </xf>
    <xf numFmtId="0" fontId="36" fillId="0" borderId="48" xfId="1" applyFont="1" applyFill="1" applyBorder="1" applyAlignment="1">
      <alignment horizontal="left" vertical="center" wrapText="1" indent="1"/>
    </xf>
    <xf numFmtId="0" fontId="55" fillId="0" borderId="46" xfId="0" applyFont="1" applyBorder="1"/>
    <xf numFmtId="0" fontId="56" fillId="0" borderId="35" xfId="1" applyFont="1" applyFill="1" applyBorder="1" applyAlignment="1">
      <alignment horizontal="center" vertical="center" textRotation="90" wrapText="1"/>
    </xf>
    <xf numFmtId="0" fontId="4" fillId="0" borderId="46" xfId="0" applyFont="1" applyBorder="1"/>
    <xf numFmtId="0" fontId="26" fillId="0" borderId="35" xfId="1" applyFont="1" applyFill="1" applyBorder="1" applyAlignment="1">
      <alignment horizontal="center" vertical="center" textRotation="90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left" vertical="center" wrapText="1" indent="1"/>
    </xf>
    <xf numFmtId="0" fontId="47" fillId="0" borderId="35" xfId="1" applyFont="1" applyFill="1" applyBorder="1" applyAlignment="1">
      <alignment horizontal="center" vertical="center" textRotation="90" wrapText="1"/>
    </xf>
    <xf numFmtId="0" fontId="57" fillId="0" borderId="35" xfId="1" applyFont="1" applyFill="1" applyBorder="1" applyAlignment="1">
      <alignment horizontal="left" vertical="center" textRotation="90" wrapText="1"/>
    </xf>
    <xf numFmtId="0" fontId="36" fillId="0" borderId="35" xfId="0" applyFont="1" applyFill="1" applyBorder="1" applyAlignment="1">
      <alignment horizontal="left" vertical="center" wrapText="1" indent="1"/>
    </xf>
    <xf numFmtId="165" fontId="39" fillId="6" borderId="20" xfId="0" applyNumberFormat="1" applyFont="1" applyFill="1" applyBorder="1" applyAlignment="1">
      <alignment horizontal="left" vertical="center" wrapText="1" indent="1"/>
    </xf>
    <xf numFmtId="0" fontId="39" fillId="0" borderId="35" xfId="1" applyFont="1" applyFill="1" applyBorder="1" applyAlignment="1">
      <alignment horizontal="left" vertical="center" textRotation="90" wrapText="1"/>
    </xf>
    <xf numFmtId="0" fontId="58" fillId="0" borderId="45" xfId="0" applyFont="1" applyFill="1" applyBorder="1" applyAlignment="1">
      <alignment horizontal="center" vertical="center" wrapText="1"/>
    </xf>
    <xf numFmtId="0" fontId="4" fillId="2" borderId="49" xfId="0" applyFont="1" applyFill="1" applyBorder="1"/>
    <xf numFmtId="0" fontId="6" fillId="2" borderId="50" xfId="0" applyFont="1" applyFill="1" applyBorder="1"/>
    <xf numFmtId="0" fontId="4" fillId="2" borderId="50" xfId="0" applyFont="1" applyFill="1" applyBorder="1"/>
    <xf numFmtId="0" fontId="6" fillId="2" borderId="51" xfId="0" applyFont="1" applyFill="1" applyBorder="1"/>
    <xf numFmtId="0" fontId="45" fillId="8" borderId="52" xfId="2" applyFont="1" applyFill="1" applyBorder="1" applyAlignment="1">
      <alignment horizontal="center" vertical="center"/>
    </xf>
    <xf numFmtId="0" fontId="45" fillId="8" borderId="53" xfId="2" applyFont="1" applyFill="1" applyBorder="1" applyAlignment="1">
      <alignment horizontal="center" vertical="center"/>
    </xf>
    <xf numFmtId="0" fontId="45" fillId="8" borderId="54" xfId="2" applyFont="1" applyFill="1" applyBorder="1" applyAlignment="1">
      <alignment horizontal="center" vertical="center"/>
    </xf>
    <xf numFmtId="0" fontId="45" fillId="8" borderId="55" xfId="2" applyFont="1" applyFill="1" applyBorder="1" applyAlignment="1">
      <alignment horizontal="center" vertical="center"/>
    </xf>
    <xf numFmtId="0" fontId="45" fillId="8" borderId="56" xfId="2" applyFont="1" applyFill="1" applyBorder="1" applyAlignment="1">
      <alignment horizontal="center" vertical="center"/>
    </xf>
    <xf numFmtId="0" fontId="6" fillId="8" borderId="57" xfId="0" applyFont="1" applyFill="1" applyBorder="1"/>
    <xf numFmtId="0" fontId="45" fillId="8" borderId="58" xfId="2" applyFont="1" applyFill="1" applyBorder="1" applyAlignment="1">
      <alignment horizontal="center" vertical="center"/>
    </xf>
    <xf numFmtId="0" fontId="45" fillId="8" borderId="59" xfId="2" applyFont="1" applyFill="1" applyBorder="1" applyAlignment="1">
      <alignment horizontal="center" vertical="center"/>
    </xf>
    <xf numFmtId="0" fontId="45" fillId="8" borderId="60" xfId="2" applyFont="1" applyFill="1" applyBorder="1" applyAlignment="1">
      <alignment horizontal="center" vertical="center"/>
    </xf>
    <xf numFmtId="165" fontId="39" fillId="6" borderId="0" xfId="0" applyNumberFormat="1" applyFont="1" applyFill="1" applyBorder="1" applyAlignment="1">
      <alignment horizontal="left" vertical="center" wrapText="1" indent="1"/>
    </xf>
    <xf numFmtId="165" fontId="39" fillId="0" borderId="61" xfId="0" applyNumberFormat="1" applyFont="1" applyFill="1" applyBorder="1" applyAlignment="1">
      <alignment horizontal="left" vertical="center" indent="1"/>
    </xf>
    <xf numFmtId="165" fontId="39" fillId="0" borderId="62" xfId="0" applyNumberFormat="1" applyFont="1" applyFill="1" applyBorder="1" applyAlignment="1">
      <alignment horizontal="left" vertical="center" wrapText="1" indent="1"/>
    </xf>
    <xf numFmtId="0" fontId="10" fillId="2" borderId="43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165" fontId="39" fillId="2" borderId="0" xfId="0" applyNumberFormat="1" applyFont="1" applyFill="1" applyBorder="1" applyAlignment="1">
      <alignment horizontal="left" vertical="center" wrapText="1" indent="1"/>
    </xf>
    <xf numFmtId="165" fontId="39" fillId="0" borderId="63" xfId="0" applyNumberFormat="1" applyFont="1" applyFill="1" applyBorder="1" applyAlignment="1">
      <alignment horizontal="left" vertical="center" wrapText="1" indent="1"/>
    </xf>
    <xf numFmtId="165" fontId="39" fillId="0" borderId="34" xfId="0" applyNumberFormat="1" applyFont="1" applyFill="1" applyBorder="1" applyAlignment="1">
      <alignment horizontal="left" vertical="center" indent="1"/>
    </xf>
    <xf numFmtId="0" fontId="36" fillId="0" borderId="64" xfId="0" applyFont="1" applyFill="1" applyBorder="1" applyAlignment="1">
      <alignment horizontal="center" vertical="center" wrapText="1"/>
    </xf>
    <xf numFmtId="0" fontId="36" fillId="0" borderId="65" xfId="0" applyFont="1" applyFill="1" applyBorder="1" applyAlignment="1">
      <alignment horizontal="left" vertical="center" wrapText="1" indent="1"/>
    </xf>
    <xf numFmtId="0" fontId="59" fillId="0" borderId="42" xfId="0" applyFont="1" applyFill="1" applyBorder="1" applyAlignment="1">
      <alignment horizontal="center" vertical="center" wrapText="1"/>
    </xf>
    <xf numFmtId="165" fontId="39" fillId="0" borderId="66" xfId="0" applyNumberFormat="1" applyFont="1" applyFill="1" applyBorder="1" applyAlignment="1">
      <alignment horizontal="left" vertical="center" wrapText="1" indent="1"/>
    </xf>
    <xf numFmtId="0" fontId="45" fillId="8" borderId="67" xfId="2" applyFont="1" applyFill="1" applyBorder="1" applyAlignment="1">
      <alignment horizontal="center" vertical="center"/>
    </xf>
    <xf numFmtId="165" fontId="39" fillId="0" borderId="20" xfId="0" applyNumberFormat="1" applyFont="1" applyFill="1" applyBorder="1" applyAlignment="1">
      <alignment horizontal="left" vertical="center" wrapText="1" indent="1"/>
    </xf>
    <xf numFmtId="0" fontId="39" fillId="2" borderId="43" xfId="0" applyFont="1" applyFill="1" applyBorder="1" applyAlignment="1">
      <alignment horizontal="center" vertical="top" wrapText="1"/>
    </xf>
    <xf numFmtId="0" fontId="36" fillId="2" borderId="42" xfId="0" applyFont="1" applyFill="1" applyBorder="1" applyAlignment="1">
      <alignment horizontal="center" vertical="center" wrapText="1"/>
    </xf>
    <xf numFmtId="0" fontId="60" fillId="0" borderId="35" xfId="1" applyFont="1" applyFill="1" applyBorder="1" applyAlignment="1">
      <alignment horizontal="left" vertical="center" textRotation="90" wrapText="1"/>
    </xf>
    <xf numFmtId="165" fontId="39" fillId="0" borderId="68" xfId="0" applyNumberFormat="1" applyFont="1" applyFill="1" applyBorder="1" applyAlignment="1">
      <alignment horizontal="left" vertical="center" wrapText="1" indent="1"/>
    </xf>
    <xf numFmtId="0" fontId="40" fillId="0" borderId="0" xfId="1" applyFont="1" applyFill="1" applyBorder="1" applyAlignment="1">
      <alignment horizontal="left" vertical="center" wrapText="1" indent="1"/>
    </xf>
    <xf numFmtId="0" fontId="45" fillId="8" borderId="69" xfId="2" applyFont="1" applyFill="1" applyBorder="1" applyAlignment="1">
      <alignment horizontal="center" vertical="center"/>
    </xf>
    <xf numFmtId="0" fontId="61" fillId="0" borderId="35" xfId="1" applyFont="1" applyFill="1" applyBorder="1" applyAlignment="1">
      <alignment horizontal="center" vertical="center" textRotation="90" wrapText="1"/>
    </xf>
    <xf numFmtId="0" fontId="62" fillId="0" borderId="42" xfId="0" applyFont="1" applyFill="1" applyBorder="1" applyAlignment="1">
      <alignment horizontal="center" vertical="center" wrapText="1"/>
    </xf>
    <xf numFmtId="0" fontId="62" fillId="2" borderId="43" xfId="0" applyFont="1" applyFill="1" applyBorder="1" applyAlignment="1">
      <alignment horizontal="center" vertical="center" wrapText="1"/>
    </xf>
    <xf numFmtId="0" fontId="45" fillId="8" borderId="70" xfId="2" applyFont="1" applyFill="1" applyBorder="1" applyAlignment="1">
      <alignment horizontal="center" vertical="center"/>
    </xf>
    <xf numFmtId="0" fontId="45" fillId="8" borderId="71" xfId="2" applyFont="1" applyFill="1" applyBorder="1" applyAlignment="1">
      <alignment horizontal="center" vertical="center"/>
    </xf>
    <xf numFmtId="0" fontId="45" fillId="8" borderId="72" xfId="2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left" vertical="center" wrapText="1" indent="1"/>
    </xf>
    <xf numFmtId="165" fontId="40" fillId="0" borderId="15" xfId="0" applyNumberFormat="1" applyFont="1" applyFill="1" applyBorder="1" applyAlignment="1">
      <alignment horizontal="left" vertical="center" wrapText="1" indent="1"/>
    </xf>
    <xf numFmtId="0" fontId="47" fillId="0" borderId="35" xfId="1" applyFont="1" applyFill="1" applyBorder="1" applyAlignment="1">
      <alignment horizontal="left" vertical="center" textRotation="90" wrapText="1"/>
    </xf>
    <xf numFmtId="0" fontId="47" fillId="2" borderId="43" xfId="0" applyFont="1" applyFill="1" applyBorder="1" applyAlignment="1">
      <alignment horizontal="center" vertical="center" wrapText="1"/>
    </xf>
    <xf numFmtId="0" fontId="53" fillId="2" borderId="43" xfId="0" applyFont="1" applyFill="1" applyBorder="1" applyAlignment="1">
      <alignment horizontal="center" vertical="center" wrapText="1"/>
    </xf>
    <xf numFmtId="0" fontId="36" fillId="2" borderId="45" xfId="0" applyFont="1" applyFill="1" applyBorder="1" applyAlignment="1">
      <alignment horizontal="center" wrapText="1"/>
    </xf>
    <xf numFmtId="165" fontId="39" fillId="0" borderId="33" xfId="0" applyNumberFormat="1" applyFont="1" applyFill="1" applyBorder="1" applyAlignment="1">
      <alignment horizontal="left" vertical="center" indent="1"/>
    </xf>
    <xf numFmtId="0" fontId="6" fillId="2" borderId="57" xfId="0" applyFont="1" applyFill="1" applyBorder="1"/>
    <xf numFmtId="165" fontId="38" fillId="0" borderId="24" xfId="0" applyNumberFormat="1" applyFont="1" applyFill="1" applyBorder="1" applyAlignment="1">
      <alignment horizontal="left" vertical="center" wrapText="1" indent="1"/>
    </xf>
    <xf numFmtId="165" fontId="38" fillId="0" borderId="15" xfId="0" applyNumberFormat="1" applyFont="1" applyFill="1" applyBorder="1" applyAlignment="1">
      <alignment horizontal="left" vertical="center" wrapText="1" indent="1"/>
    </xf>
    <xf numFmtId="165" fontId="38" fillId="0" borderId="25" xfId="0" applyNumberFormat="1" applyFont="1" applyFill="1" applyBorder="1" applyAlignment="1">
      <alignment horizontal="left" vertical="center" wrapText="1" indent="1"/>
    </xf>
    <xf numFmtId="165" fontId="38" fillId="0" borderId="33" xfId="0" applyNumberFormat="1" applyFont="1" applyFill="1" applyBorder="1" applyAlignment="1">
      <alignment horizontal="left" vertical="center" wrapText="1" indent="1"/>
    </xf>
    <xf numFmtId="0" fontId="0" fillId="0" borderId="46" xfId="0" applyBorder="1"/>
    <xf numFmtId="0" fontId="39" fillId="0" borderId="35" xfId="1" applyFont="1" applyFill="1" applyBorder="1" applyAlignment="1">
      <alignment horizontal="center" vertical="center" textRotation="90" wrapText="1"/>
    </xf>
    <xf numFmtId="0" fontId="39" fillId="0" borderId="42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165" fontId="38" fillId="0" borderId="40" xfId="0" applyNumberFormat="1" applyFont="1" applyFill="1" applyBorder="1" applyAlignment="1">
      <alignment horizontal="left" vertical="center" indent="1"/>
    </xf>
    <xf numFmtId="0" fontId="63" fillId="0" borderId="35" xfId="1" applyFont="1" applyFill="1" applyBorder="1" applyAlignment="1">
      <alignment horizontal="center" vertical="center" textRotation="90" wrapText="1"/>
    </xf>
    <xf numFmtId="0" fontId="4" fillId="0" borderId="46" xfId="0" applyFont="1" applyFill="1" applyBorder="1" applyAlignment="1">
      <alignment horizontal="center" vertical="center" wrapText="1"/>
    </xf>
    <xf numFmtId="0" fontId="55" fillId="0" borderId="46" xfId="0" applyFont="1" applyFill="1" applyBorder="1"/>
    <xf numFmtId="0" fontId="57" fillId="0" borderId="35" xfId="1" applyFont="1" applyFill="1" applyBorder="1" applyAlignment="1">
      <alignment horizontal="center" vertical="center" textRotation="90" wrapText="1"/>
    </xf>
    <xf numFmtId="0" fontId="64" fillId="0" borderId="35" xfId="1" applyFont="1" applyFill="1" applyBorder="1" applyAlignment="1">
      <alignment horizontal="left" vertical="center" textRotation="90" wrapText="1"/>
    </xf>
    <xf numFmtId="0" fontId="47" fillId="0" borderId="43" xfId="0" applyFont="1" applyFill="1" applyBorder="1" applyAlignment="1">
      <alignment horizontal="center" vertical="center" wrapText="1"/>
    </xf>
    <xf numFmtId="0" fontId="46" fillId="0" borderId="43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top" wrapText="1"/>
    </xf>
    <xf numFmtId="165" fontId="39" fillId="0" borderId="73" xfId="0" applyNumberFormat="1" applyFont="1" applyFill="1" applyBorder="1" applyAlignment="1">
      <alignment horizontal="left" vertical="center" wrapText="1" indent="1"/>
    </xf>
    <xf numFmtId="0" fontId="6" fillId="2" borderId="74" xfId="0" applyFont="1" applyFill="1" applyBorder="1"/>
    <xf numFmtId="0" fontId="45" fillId="8" borderId="75" xfId="2" applyFont="1" applyFill="1" applyBorder="1" applyAlignment="1">
      <alignment horizontal="center" vertical="center"/>
    </xf>
    <xf numFmtId="0" fontId="45" fillId="8" borderId="76" xfId="2" applyFont="1" applyFill="1" applyBorder="1" applyAlignment="1">
      <alignment horizontal="center" vertical="center"/>
    </xf>
    <xf numFmtId="0" fontId="45" fillId="8" borderId="77" xfId="2" applyFont="1" applyFill="1" applyBorder="1" applyAlignment="1">
      <alignment horizontal="center" vertical="center"/>
    </xf>
    <xf numFmtId="165" fontId="39" fillId="0" borderId="31" xfId="0" applyNumberFormat="1" applyFont="1" applyFill="1" applyBorder="1" applyAlignment="1">
      <alignment horizontal="left" vertical="center" indent="1"/>
    </xf>
    <xf numFmtId="0" fontId="5" fillId="2" borderId="29" xfId="0" applyFont="1" applyFill="1" applyBorder="1" applyAlignment="1">
      <alignment horizontal="center" vertical="center" wrapText="1"/>
    </xf>
    <xf numFmtId="164" fontId="30" fillId="2" borderId="0" xfId="4" applyNumberFormat="1" applyFont="1" applyFill="1" applyBorder="1" applyAlignment="1">
      <alignment horizontal="center" vertical="center"/>
    </xf>
    <xf numFmtId="0" fontId="65" fillId="3" borderId="78" xfId="2" applyFont="1" applyBorder="1" applyAlignment="1">
      <alignment horizontal="left" vertical="center" wrapText="1"/>
    </xf>
    <xf numFmtId="0" fontId="65" fillId="3" borderId="14" xfId="2" applyFont="1" applyBorder="1" applyAlignment="1">
      <alignment horizontal="left" vertical="center" wrapText="1"/>
    </xf>
    <xf numFmtId="0" fontId="65" fillId="3" borderId="79" xfId="2" applyFont="1" applyBorder="1" applyAlignment="1">
      <alignment horizontal="left" vertical="center" wrapText="1"/>
    </xf>
    <xf numFmtId="165" fontId="45" fillId="3" borderId="15" xfId="2" applyNumberFormat="1" applyFont="1" applyBorder="1" applyAlignment="1">
      <alignment horizontal="left" vertical="center" wrapText="1"/>
    </xf>
    <xf numFmtId="165" fontId="45" fillId="3" borderId="21" xfId="2" applyNumberFormat="1" applyFont="1" applyBorder="1" applyAlignment="1">
      <alignment horizontal="left" vertical="center" wrapText="1"/>
    </xf>
    <xf numFmtId="164" fontId="66" fillId="2" borderId="0" xfId="4" applyNumberFormat="1" applyFont="1" applyFill="1" applyAlignment="1">
      <alignment horizontal="center" vertical="center"/>
    </xf>
    <xf numFmtId="0" fontId="65" fillId="0" borderId="80" xfId="2" applyFont="1" applyFill="1" applyBorder="1" applyAlignment="1">
      <alignment horizontal="left" vertical="center" wrapText="1"/>
    </xf>
    <xf numFmtId="0" fontId="65" fillId="0" borderId="14" xfId="2" applyFont="1" applyFill="1" applyBorder="1" applyAlignment="1">
      <alignment horizontal="left" vertical="center" wrapText="1"/>
    </xf>
    <xf numFmtId="0" fontId="65" fillId="0" borderId="81" xfId="2" applyFont="1" applyFill="1" applyBorder="1" applyAlignment="1">
      <alignment horizontal="left" vertical="center" wrapText="1"/>
    </xf>
    <xf numFmtId="165" fontId="45" fillId="0" borderId="82" xfId="2" applyNumberFormat="1" applyFont="1" applyFill="1" applyBorder="1" applyAlignment="1">
      <alignment horizontal="left" vertical="center" wrapText="1"/>
    </xf>
    <xf numFmtId="165" fontId="45" fillId="0" borderId="11" xfId="2" applyNumberFormat="1" applyFont="1" applyFill="1" applyBorder="1" applyAlignment="1">
      <alignment horizontal="left" vertical="center" wrapText="1"/>
    </xf>
    <xf numFmtId="165" fontId="45" fillId="0" borderId="83" xfId="2" applyNumberFormat="1" applyFont="1" applyFill="1" applyBorder="1" applyAlignment="1">
      <alignment horizontal="left" vertical="center" wrapText="1"/>
    </xf>
    <xf numFmtId="165" fontId="45" fillId="3" borderId="84" xfId="2" applyNumberFormat="1" applyFont="1" applyBorder="1" applyAlignment="1">
      <alignment horizontal="left" vertical="center" wrapText="1"/>
    </xf>
    <xf numFmtId="0" fontId="65" fillId="3" borderId="85" xfId="2" applyFont="1" applyBorder="1" applyAlignment="1">
      <alignment horizontal="left" vertical="center" wrapText="1"/>
    </xf>
    <xf numFmtId="0" fontId="45" fillId="3" borderId="78" xfId="2" applyFont="1" applyBorder="1" applyAlignment="1">
      <alignment horizontal="left" vertical="center" wrapText="1"/>
    </xf>
    <xf numFmtId="0" fontId="45" fillId="3" borderId="14" xfId="2" applyFont="1" applyBorder="1" applyAlignment="1">
      <alignment horizontal="left" vertical="center" wrapText="1"/>
    </xf>
    <xf numFmtId="0" fontId="45" fillId="3" borderId="79" xfId="2" applyFont="1" applyBorder="1" applyAlignment="1">
      <alignment horizontal="left" vertical="center" wrapText="1"/>
    </xf>
    <xf numFmtId="164" fontId="66" fillId="2" borderId="3" xfId="4" applyNumberFormat="1" applyFont="1" applyFill="1" applyBorder="1" applyAlignment="1">
      <alignment horizontal="center" vertical="center"/>
    </xf>
    <xf numFmtId="164" fontId="66" fillId="2" borderId="4" xfId="4" applyNumberFormat="1" applyFont="1" applyFill="1" applyBorder="1" applyAlignment="1">
      <alignment horizontal="center" vertical="center"/>
    </xf>
    <xf numFmtId="164" fontId="66" fillId="2" borderId="5" xfId="4" applyNumberFormat="1" applyFont="1" applyFill="1" applyBorder="1" applyAlignment="1">
      <alignment horizontal="center" vertical="center"/>
    </xf>
    <xf numFmtId="165" fontId="45" fillId="0" borderId="0" xfId="2" applyNumberFormat="1" applyFont="1" applyFill="1" applyBorder="1" applyAlignment="1">
      <alignment horizontal="left" vertical="center" wrapText="1"/>
    </xf>
    <xf numFmtId="0" fontId="65" fillId="0" borderId="0" xfId="2" applyFont="1" applyFill="1" applyBorder="1" applyAlignment="1">
      <alignment horizontal="left" vertical="center" wrapText="1"/>
    </xf>
    <xf numFmtId="165" fontId="45" fillId="0" borderId="86" xfId="2" applyNumberFormat="1" applyFont="1" applyFill="1" applyBorder="1" applyAlignment="1">
      <alignment horizontal="left" vertical="center" wrapText="1"/>
    </xf>
    <xf numFmtId="165" fontId="45" fillId="0" borderId="53" xfId="2" applyNumberFormat="1" applyFont="1" applyFill="1" applyBorder="1" applyAlignment="1">
      <alignment horizontal="left" vertical="center" wrapText="1"/>
    </xf>
    <xf numFmtId="165" fontId="45" fillId="0" borderId="87" xfId="2" applyNumberFormat="1" applyFont="1" applyFill="1" applyBorder="1" applyAlignment="1">
      <alignment horizontal="left" vertical="center" wrapText="1"/>
    </xf>
    <xf numFmtId="0" fontId="45" fillId="0" borderId="0" xfId="2" applyFont="1" applyFill="1" applyBorder="1" applyAlignment="1">
      <alignment horizontal="left" vertical="center" wrapText="1"/>
    </xf>
    <xf numFmtId="164" fontId="66" fillId="2" borderId="0" xfId="4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</cellXfs>
  <cellStyles count="6">
    <cellStyle name="40% - Accent1" xfId="1" builtinId="31" customBuiltin="1"/>
    <cellStyle name="Accent1" xfId="2" builtinId="29" customBuiltin="1"/>
    <cellStyle name="Accent5" xfId="3" builtinId="45" customBuiltin="1"/>
    <cellStyle name="Heading 1" xfId="4" builtinId="16" customBuiltin="1"/>
    <cellStyle name="Normal" xfId="0" builtinId="0" customBuiltin="1"/>
    <cellStyle name="Normal 2" xfId="5" xr:uid="{00000000-0005-0000-0000-000005000000}"/>
  </cellStyles>
  <dxfs count="3"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1</xdr:row>
      <xdr:rowOff>209550</xdr:rowOff>
    </xdr:from>
    <xdr:to>
      <xdr:col>11</xdr:col>
      <xdr:colOff>0</xdr:colOff>
      <xdr:row>5</xdr:row>
      <xdr:rowOff>133350</xdr:rowOff>
    </xdr:to>
    <xdr:sp macro="" textlink="">
      <xdr:nvSpPr>
        <xdr:cNvPr id="2" name="Rectangular Callout 1" descr="Select the year for your calendar.&#10;&#10;The Lookup List worksheet controls the items on this list.">
          <a:extLst>
            <a:ext uri="{FF2B5EF4-FFF2-40B4-BE49-F238E27FC236}">
              <a16:creationId xmlns:a16="http://schemas.microsoft.com/office/drawing/2014/main" id="{A4F966E2-A214-48BF-9AEA-0789E1FC2E0D}"/>
            </a:ext>
          </a:extLst>
        </xdr:cNvPr>
        <xdr:cNvSpPr/>
      </xdr:nvSpPr>
      <xdr:spPr>
        <a:xfrm>
          <a:off x="10925175" y="962025"/>
          <a:ext cx="1762125" cy="1276350"/>
        </a:xfrm>
        <a:prstGeom prst="wedgeRectCallout">
          <a:avLst>
            <a:gd name="adj1" fmla="val 21682"/>
            <a:gd name="adj2" fmla="val -60323"/>
          </a:avLst>
        </a:prstGeom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Ins="91440" rtlCol="0" anchor="ctr" anchorCtr="0"/>
        <a:lstStyle/>
        <a:p>
          <a:pPr algn="l"/>
          <a:r>
            <a:rPr lang="en-US" sz="1100"/>
            <a:t>Select the year for your calendar.</a:t>
          </a:r>
        </a:p>
        <a:p>
          <a:pPr algn="l"/>
          <a:endParaRPr lang="en-US" sz="1100"/>
        </a:p>
        <a:p>
          <a:pPr algn="l"/>
          <a:r>
            <a:rPr lang="en-US" sz="1100"/>
            <a:t>The</a:t>
          </a:r>
          <a:r>
            <a:rPr lang="en-US" sz="1100" baseline="0"/>
            <a:t> Lookup List worksheet controls the items on this list.</a:t>
          </a:r>
          <a:endParaRPr lang="en-US" sz="1100"/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9524</xdr:rowOff>
    </xdr:from>
    <xdr:to>
      <xdr:col>3</xdr:col>
      <xdr:colOff>590550</xdr:colOff>
      <xdr:row>11</xdr:row>
      <xdr:rowOff>104774</xdr:rowOff>
    </xdr:to>
    <xdr:sp macro="" textlink="">
      <xdr:nvSpPr>
        <xdr:cNvPr id="2" name="Rectangular Callout 1" descr="This list populates the years on the January worksheet.&#10;&#10;To add years, type in the cell below the last entry.">
          <a:extLst>
            <a:ext uri="{FF2B5EF4-FFF2-40B4-BE49-F238E27FC236}">
              <a16:creationId xmlns:a16="http://schemas.microsoft.com/office/drawing/2014/main" id="{5BB087A5-519E-4657-A1B0-4AD28CC84E7B}"/>
            </a:ext>
          </a:extLst>
        </xdr:cNvPr>
        <xdr:cNvSpPr/>
      </xdr:nvSpPr>
      <xdr:spPr>
        <a:xfrm>
          <a:off x="1095375" y="190499"/>
          <a:ext cx="1752600" cy="1914525"/>
        </a:xfrm>
        <a:prstGeom prst="wedgeRectCallout">
          <a:avLst>
            <a:gd name="adj1" fmla="val -61021"/>
            <a:gd name="adj2" fmla="val -222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Ins="91440" rtlCol="0" anchor="ctr" anchorCtr="0"/>
        <a:lstStyle/>
        <a:p>
          <a:pPr algn="l"/>
          <a:r>
            <a:rPr lang="en-US" sz="1100"/>
            <a:t>This list populates the years on the January worksheet.</a:t>
          </a:r>
        </a:p>
        <a:p>
          <a:pPr algn="l"/>
          <a:endParaRPr lang="en-US" sz="1100"/>
        </a:p>
        <a:p>
          <a:pPr algn="l"/>
          <a:r>
            <a:rPr lang="en-US" sz="1100"/>
            <a:t>To add years, type in the cell below the last entry.</a:t>
          </a:r>
        </a:p>
        <a:p>
          <a:pPr algn="l"/>
          <a:endParaRPr lang="en-US" sz="1100"/>
        </a:p>
        <a:p>
          <a:pPr algn="l"/>
          <a:r>
            <a:rPr lang="en-US" sz="1100"/>
            <a:t>Go to cell K1 on January</a:t>
          </a:r>
          <a:r>
            <a:rPr lang="en-US" sz="1100" baseline="0"/>
            <a:t> tab to change current year</a:t>
          </a:r>
          <a:endParaRPr lang="en-US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</xdr:colOff>
      <xdr:row>6</xdr:row>
      <xdr:rowOff>38101</xdr:rowOff>
    </xdr:from>
    <xdr:to>
      <xdr:col>5</xdr:col>
      <xdr:colOff>1433512</xdr:colOff>
      <xdr:row>7</xdr:row>
      <xdr:rowOff>590551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447D306-85CB-4306-B005-7EDA03B7B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48262" y="3981451"/>
          <a:ext cx="1352550" cy="72390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6485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Spring Fling</a:t>
          </a:r>
        </a:p>
      </xdr:txBody>
    </xdr:sp>
    <xdr:clientData/>
  </xdr:twoCellAnchor>
  <xdr:twoCellAnchor>
    <xdr:from>
      <xdr:col>4</xdr:col>
      <xdr:colOff>66675</xdr:colOff>
      <xdr:row>9</xdr:row>
      <xdr:rowOff>47625</xdr:rowOff>
    </xdr:from>
    <xdr:to>
      <xdr:col>5</xdr:col>
      <xdr:colOff>1447799</xdr:colOff>
      <xdr:row>9</xdr:row>
      <xdr:rowOff>450850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C6E838B1-98EA-4905-BFC7-F45697E47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62350" y="5743575"/>
          <a:ext cx="2952749" cy="403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Carmel Golf Outing</a:t>
          </a:r>
        </a:p>
      </xdr:txBody>
    </xdr:sp>
    <xdr:clientData/>
  </xdr:twoCellAnchor>
  <xdr:twoCellAnchor editAs="oneCell">
    <xdr:from>
      <xdr:col>2</xdr:col>
      <xdr:colOff>219075</xdr:colOff>
      <xdr:row>11</xdr:row>
      <xdr:rowOff>28575</xdr:rowOff>
    </xdr:from>
    <xdr:to>
      <xdr:col>2</xdr:col>
      <xdr:colOff>1504950</xdr:colOff>
      <xdr:row>11</xdr:row>
      <xdr:rowOff>1219200</xdr:rowOff>
    </xdr:to>
    <xdr:pic>
      <xdr:nvPicPr>
        <xdr:cNvPr id="3075" name="Picture 2" descr="http://eemes.ccs.k12.nc.us/files/2014/04/memorial-day.png">
          <a:extLst>
            <a:ext uri="{FF2B5EF4-FFF2-40B4-BE49-F238E27FC236}">
              <a16:creationId xmlns:a16="http://schemas.microsoft.com/office/drawing/2014/main" id="{8BC31F19-E5AE-4ED0-B0E7-E0FBC3C7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305675"/>
          <a:ext cx="12858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7</xdr:row>
      <xdr:rowOff>666750</xdr:rowOff>
    </xdr:from>
    <xdr:to>
      <xdr:col>6</xdr:col>
      <xdr:colOff>1295400</xdr:colOff>
      <xdr:row>7</xdr:row>
      <xdr:rowOff>1314450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293148B-FFDC-4E50-8BF3-FCCB2EB50ED5}"/>
            </a:ext>
          </a:extLst>
        </xdr:cNvPr>
        <xdr:cNvSpPr txBox="1"/>
      </xdr:nvSpPr>
      <xdr:spPr>
        <a:xfrm>
          <a:off x="6724650" y="4781550"/>
          <a:ext cx="1209675" cy="647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Palatino Linotype" panose="02040502050505030304" pitchFamily="18" charset="0"/>
            </a:rPr>
            <a:t>Walking Tour</a:t>
          </a:r>
        </a:p>
        <a:p>
          <a:pPr algn="ctr"/>
          <a:r>
            <a:rPr lang="en-US" sz="1050">
              <a:latin typeface="Palatino Linotype" panose="02040502050505030304" pitchFamily="18" charset="0"/>
            </a:rPr>
            <a:t>(10:30@ Mare Island,</a:t>
          </a:r>
          <a:r>
            <a:rPr lang="en-US" sz="1050" baseline="0">
              <a:latin typeface="Palatino Linotype" panose="02040502050505030304" pitchFamily="18" charset="0"/>
            </a:rPr>
            <a:t> Vallejo)</a:t>
          </a:r>
          <a:endParaRPr lang="en-US" sz="1050">
            <a:latin typeface="Palatino Linotype" panose="02040502050505030304" pitchFamily="18" charset="0"/>
          </a:endParaRPr>
        </a:p>
      </xdr:txBody>
    </xdr:sp>
    <xdr:clientData/>
  </xdr:twoCellAnchor>
  <xdr:twoCellAnchor>
    <xdr:from>
      <xdr:col>6</xdr:col>
      <xdr:colOff>1295400</xdr:colOff>
      <xdr:row>7</xdr:row>
      <xdr:rowOff>790575</xdr:rowOff>
    </xdr:from>
    <xdr:to>
      <xdr:col>7</xdr:col>
      <xdr:colOff>47625</xdr:colOff>
      <xdr:row>7</xdr:row>
      <xdr:rowOff>990600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EF02F07-0359-4213-912B-23B55140A852}"/>
            </a:ext>
          </a:extLst>
        </xdr:cNvPr>
        <xdr:cNvCxnSpPr>
          <a:stCxn id="4" idx="3"/>
        </xdr:cNvCxnSpPr>
      </xdr:nvCxnSpPr>
      <xdr:spPr>
        <a:xfrm flipV="1">
          <a:off x="7934325" y="4905375"/>
          <a:ext cx="323850" cy="200025"/>
        </a:xfrm>
        <a:prstGeom prst="straightConnector1">
          <a:avLst/>
        </a:prstGeom>
        <a:ln w="12700">
          <a:solidFill>
            <a:schemeClr val="tx1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9</xdr:row>
      <xdr:rowOff>52386</xdr:rowOff>
    </xdr:from>
    <xdr:to>
      <xdr:col>1</xdr:col>
      <xdr:colOff>319089</xdr:colOff>
      <xdr:row>9</xdr:row>
      <xdr:rowOff>1347790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8CA36CC-D551-498A-8C60-B92DC2E44E9F}"/>
            </a:ext>
          </a:extLst>
        </xdr:cNvPr>
        <xdr:cNvSpPr txBox="1"/>
      </xdr:nvSpPr>
      <xdr:spPr>
        <a:xfrm rot="16200000">
          <a:off x="-476251" y="6248400"/>
          <a:ext cx="1295404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="1">
              <a:ln w="6350">
                <a:noFill/>
              </a:ln>
              <a:solidFill>
                <a:srgbClr val="FF0000"/>
              </a:solidFill>
              <a:latin typeface="Palatino Linotype" pitchFamily="18" charset="0"/>
            </a:rPr>
            <a:t>Father's Day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</xdr:row>
      <xdr:rowOff>974912</xdr:rowOff>
    </xdr:from>
    <xdr:ext cx="184731" cy="25455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2422D29-37D9-410E-A535-4C6CF627AB00}"/>
            </a:ext>
          </a:extLst>
        </xdr:cNvPr>
        <xdr:cNvSpPr txBox="1"/>
      </xdr:nvSpPr>
      <xdr:spPr>
        <a:xfrm>
          <a:off x="14052176" y="50874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6</xdr:col>
      <xdr:colOff>112060</xdr:colOff>
      <xdr:row>11</xdr:row>
      <xdr:rowOff>89646</xdr:rowOff>
    </xdr:from>
    <xdr:to>
      <xdr:col>6</xdr:col>
      <xdr:colOff>1445560</xdr:colOff>
      <xdr:row>11</xdr:row>
      <xdr:rowOff>728381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B156A5-7ECD-4E03-9592-0DADB419D48A}"/>
            </a:ext>
          </a:extLst>
        </xdr:cNvPr>
        <xdr:cNvSpPr txBox="1"/>
      </xdr:nvSpPr>
      <xdr:spPr>
        <a:xfrm>
          <a:off x="6734736" y="7362264"/>
          <a:ext cx="1333500" cy="63873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Palatino Linotype" panose="02040502050505030304" pitchFamily="18" charset="0"/>
            </a:rPr>
            <a:t>Walking</a:t>
          </a:r>
          <a:r>
            <a:rPr lang="en-US" sz="1100" b="1" baseline="0">
              <a:latin typeface="Palatino Linotype" panose="02040502050505030304" pitchFamily="18" charset="0"/>
            </a:rPr>
            <a:t> Tour</a:t>
          </a:r>
        </a:p>
        <a:p>
          <a:pPr algn="ctr"/>
          <a:r>
            <a:rPr lang="en-US" sz="900" baseline="0">
              <a:latin typeface="Palatino Linotype" panose="02040502050505030304" pitchFamily="18" charset="0"/>
            </a:rPr>
            <a:t>(9:00@ Downtown Martinez)</a:t>
          </a:r>
          <a:endParaRPr lang="en-US" sz="900">
            <a:latin typeface="Palatino Linotype" panose="02040502050505030304" pitchFamily="18" charset="0"/>
          </a:endParaRPr>
        </a:p>
      </xdr:txBody>
    </xdr:sp>
    <xdr:clientData/>
  </xdr:twoCellAnchor>
  <xdr:twoCellAnchor>
    <xdr:from>
      <xdr:col>6</xdr:col>
      <xdr:colOff>1423148</xdr:colOff>
      <xdr:row>9</xdr:row>
      <xdr:rowOff>1378324</xdr:rowOff>
    </xdr:from>
    <xdr:to>
      <xdr:col>7</xdr:col>
      <xdr:colOff>56029</xdr:colOff>
      <xdr:row>11</xdr:row>
      <xdr:rowOff>67235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1C9EAD3-B979-49C0-8F7D-6A35A1509641}"/>
            </a:ext>
          </a:extLst>
        </xdr:cNvPr>
        <xdr:cNvCxnSpPr/>
      </xdr:nvCxnSpPr>
      <xdr:spPr>
        <a:xfrm flipV="1">
          <a:off x="8045824" y="7070912"/>
          <a:ext cx="201705" cy="2689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314325</xdr:rowOff>
    </xdr:from>
    <xdr:to>
      <xdr:col>2</xdr:col>
      <xdr:colOff>1466850</xdr:colOff>
      <xdr:row>9</xdr:row>
      <xdr:rowOff>1228725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7FA859-D4AF-4B11-B417-E6C5790A57F2}"/>
            </a:ext>
          </a:extLst>
        </xdr:cNvPr>
        <xdr:cNvSpPr txBox="1"/>
      </xdr:nvSpPr>
      <xdr:spPr>
        <a:xfrm>
          <a:off x="371475" y="6010275"/>
          <a:ext cx="144780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SIR Branch 116</a:t>
          </a:r>
        </a:p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Meeting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Palatino Linotype" panose="02040502050505030304" pitchFamily="18" charset="0"/>
            </a:rPr>
            <a:t>(12:00 Noon via Zoom)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76200</xdr:rowOff>
    </xdr:from>
    <xdr:to>
      <xdr:col>2</xdr:col>
      <xdr:colOff>1524000</xdr:colOff>
      <xdr:row>5</xdr:row>
      <xdr:rowOff>1238250</xdr:rowOff>
    </xdr:to>
    <xdr:pic>
      <xdr:nvPicPr>
        <xdr:cNvPr id="7169" name="Picture 6" descr="Happy Labor Day to Our U.S. Readers - TLNT">
          <a:extLst>
            <a:ext uri="{FF2B5EF4-FFF2-40B4-BE49-F238E27FC236}">
              <a16:creationId xmlns:a16="http://schemas.microsoft.com/office/drawing/2014/main" id="{593093CC-7BDA-44A6-8B5F-52DBA445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61" r="10960"/>
        <a:stretch>
          <a:fillRect/>
        </a:stretch>
      </xdr:blipFill>
      <xdr:spPr bwMode="auto">
        <a:xfrm>
          <a:off x="400050" y="2609850"/>
          <a:ext cx="14763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33618</xdr:colOff>
      <xdr:row>9</xdr:row>
      <xdr:rowOff>347383</xdr:rowOff>
    </xdr:from>
    <xdr:to>
      <xdr:col>2</xdr:col>
      <xdr:colOff>1512794</xdr:colOff>
      <xdr:row>9</xdr:row>
      <xdr:rowOff>1284196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F982BD3-6D47-481A-9494-712149FBB03C}"/>
            </a:ext>
          </a:extLst>
        </xdr:cNvPr>
        <xdr:cNvSpPr txBox="1"/>
      </xdr:nvSpPr>
      <xdr:spPr>
        <a:xfrm>
          <a:off x="381000" y="6039971"/>
          <a:ext cx="1479176" cy="93681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SIR Branch 116</a:t>
          </a:r>
        </a:p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Meeting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Palatino Linotype" panose="02040502050505030304" pitchFamily="18" charset="0"/>
            </a:rPr>
            <a:t>(12:00 Noon via Zoom)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22411</xdr:colOff>
      <xdr:row>9</xdr:row>
      <xdr:rowOff>224118</xdr:rowOff>
    </xdr:from>
    <xdr:to>
      <xdr:col>2</xdr:col>
      <xdr:colOff>1501587</xdr:colOff>
      <xdr:row>9</xdr:row>
      <xdr:rowOff>1160931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5DD365-50B8-43CD-8A14-7773781066B3}"/>
            </a:ext>
          </a:extLst>
        </xdr:cNvPr>
        <xdr:cNvSpPr txBox="1"/>
      </xdr:nvSpPr>
      <xdr:spPr>
        <a:xfrm>
          <a:off x="369793" y="5916706"/>
          <a:ext cx="1479176" cy="93681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SIR Branch 116</a:t>
          </a:r>
        </a:p>
        <a:p>
          <a:pPr algn="ctr"/>
          <a:r>
            <a:rPr lang="en-US" sz="1400" b="1">
              <a:solidFill>
                <a:srgbClr val="FF0000"/>
              </a:solidFill>
              <a:latin typeface="Palatino Linotype" panose="02040502050505030304" pitchFamily="18" charset="0"/>
            </a:rPr>
            <a:t>Meeting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Palatino Linotype" panose="02040502050505030304" pitchFamily="18" charset="0"/>
            </a:rPr>
            <a:t>(12:00 Noon via Zoom)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9</xdr:row>
      <xdr:rowOff>19050</xdr:rowOff>
    </xdr:from>
    <xdr:to>
      <xdr:col>5</xdr:col>
      <xdr:colOff>1485900</xdr:colOff>
      <xdr:row>9</xdr:row>
      <xdr:rowOff>1200150</xdr:rowOff>
    </xdr:to>
    <xdr:pic>
      <xdr:nvPicPr>
        <xdr:cNvPr id="9217" name="Picture 1" descr="http://www.up.net/wp-content/uploads/2011/11/thanksgiving.jpg">
          <a:extLst>
            <a:ext uri="{FF2B5EF4-FFF2-40B4-BE49-F238E27FC236}">
              <a16:creationId xmlns:a16="http://schemas.microsoft.com/office/drawing/2014/main" id="{FB0868F9-52C7-4EAD-B6AB-728333550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715000"/>
          <a:ext cx="14192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8</xdr:row>
      <xdr:rowOff>47625</xdr:rowOff>
    </xdr:from>
    <xdr:to>
      <xdr:col>6</xdr:col>
      <xdr:colOff>1295400</xdr:colOff>
      <xdr:row>9</xdr:row>
      <xdr:rowOff>1076325</xdr:rowOff>
    </xdr:to>
    <xdr:pic>
      <xdr:nvPicPr>
        <xdr:cNvPr id="10241" name="Picture 1" descr="See the source image">
          <a:extLst>
            <a:ext uri="{FF2B5EF4-FFF2-40B4-BE49-F238E27FC236}">
              <a16:creationId xmlns:a16="http://schemas.microsoft.com/office/drawing/2014/main" id="{4B40739C-F9A2-42F9-8409-91EF90A97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5572125"/>
          <a:ext cx="9906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11</xdr:row>
      <xdr:rowOff>85725</xdr:rowOff>
    </xdr:from>
    <xdr:to>
      <xdr:col>6</xdr:col>
      <xdr:colOff>1504950</xdr:colOff>
      <xdr:row>11</xdr:row>
      <xdr:rowOff>971550</xdr:rowOff>
    </xdr:to>
    <xdr:pic>
      <xdr:nvPicPr>
        <xdr:cNvPr id="10242" name="Picture 3">
          <a:extLst>
            <a:ext uri="{FF2B5EF4-FFF2-40B4-BE49-F238E27FC236}">
              <a16:creationId xmlns:a16="http://schemas.microsoft.com/office/drawing/2014/main" id="{9A6D26D1-D3A1-45F6-A80B-6FF9CA81C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7362825"/>
          <a:ext cx="1400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YearLookup" displayName="YearLookup" ref="A1:A15" totalsRowShown="0" headerRowDxfId="2" dataDxfId="1">
  <autoFilter ref="A1:A15" xr:uid="{00000000-0009-0000-0100-000001000000}"/>
  <tableColumns count="1">
    <tableColumn id="1" xr3:uid="{00000000-0010-0000-0000-000001000000}" name="Year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Horizon">
  <a:themeElements>
    <a:clrScheme name="Horizon">
      <a:dk1>
        <a:srgbClr val="000000"/>
      </a:dk1>
      <a:lt1>
        <a:srgbClr val="FFFFFF"/>
      </a:lt1>
      <a:dk2>
        <a:srgbClr val="1F2123"/>
      </a:dk2>
      <a:lt2>
        <a:srgbClr val="DC9E1F"/>
      </a:lt2>
      <a:accent1>
        <a:srgbClr val="7E97AD"/>
      </a:accent1>
      <a:accent2>
        <a:srgbClr val="CC8E60"/>
      </a:accent2>
      <a:accent3>
        <a:srgbClr val="7A6A60"/>
      </a:accent3>
      <a:accent4>
        <a:srgbClr val="B4936D"/>
      </a:accent4>
      <a:accent5>
        <a:srgbClr val="67787B"/>
      </a:accent5>
      <a:accent6>
        <a:srgbClr val="9D936F"/>
      </a:accent6>
      <a:hlink>
        <a:srgbClr val="646464"/>
      </a:hlink>
      <a:folHlink>
        <a:srgbClr val="969696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ゴシック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Horizon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2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2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2924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34925" h="47625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6000"/>
                <a:shade val="100000"/>
                <a:alpha val="100000"/>
                <a:satMod val="140000"/>
              </a:schemeClr>
            </a:gs>
            <a:gs pos="31000">
              <a:schemeClr val="phClr">
                <a:tint val="100000"/>
                <a:shade val="90000"/>
                <a:alpha val="100000"/>
              </a:schemeClr>
            </a:gs>
            <a:gs pos="100000">
              <a:schemeClr val="phClr">
                <a:tint val="100000"/>
                <a:shade val="80000"/>
                <a:alpha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hade val="100000"/>
                <a:alpha val="100000"/>
                <a:satMod val="180000"/>
              </a:schemeClr>
            </a:gs>
            <a:gs pos="41000">
              <a:schemeClr val="phClr">
                <a:tint val="100000"/>
                <a:shade val="100000"/>
                <a:alpha val="100000"/>
                <a:satMod val="150000"/>
              </a:schemeClr>
            </a:gs>
            <a:gs pos="100000">
              <a:schemeClr val="phClr">
                <a:tint val="100000"/>
                <a:shade val="65000"/>
                <a:alpha val="100000"/>
              </a:schemeClr>
            </a:gs>
          </a:gsLst>
          <a:path path="circle">
            <a:fillToRect l="50000" t="8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autoPageBreaks="0" fitToPage="1"/>
  </sheetPr>
  <dimension ref="A1:K14"/>
  <sheetViews>
    <sheetView showGridLines="0" topLeftCell="B1" zoomScale="75" zoomScaleNormal="75" workbookViewId="0">
      <selection activeCell="D4" sqref="D4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9" width="8.625" style="7" hidden="1" customWidth="1"/>
    <col min="10" max="11" width="10.625" style="7" hidden="1" customWidth="1"/>
    <col min="12" max="24" width="8.625" style="7" customWidth="1"/>
    <col min="25" max="16384" width="8.625" style="7"/>
  </cols>
  <sheetData>
    <row r="1" spans="1:11" s="30" customFormat="1" ht="39.950000000000003" customHeight="1" thickBot="1" x14ac:dyDescent="0.35">
      <c r="B1" s="176">
        <f>DATE(CalendarYear,1,1)</f>
        <v>44197</v>
      </c>
      <c r="C1" s="176"/>
      <c r="D1" s="176"/>
      <c r="E1" s="176"/>
      <c r="F1" s="176"/>
      <c r="G1" s="176"/>
      <c r="H1" s="176"/>
      <c r="J1" s="31" t="s">
        <v>0</v>
      </c>
      <c r="K1" s="32">
        <v>2021</v>
      </c>
    </row>
    <row r="2" spans="1:11" s="15" customFormat="1" ht="21.75" customHeight="1" x14ac:dyDescent="0.35">
      <c r="A2" s="13"/>
      <c r="B2" s="137" t="s">
        <v>1</v>
      </c>
      <c r="C2" s="113" t="s">
        <v>2</v>
      </c>
      <c r="D2" s="113" t="s">
        <v>3</v>
      </c>
      <c r="E2" s="113" t="s">
        <v>4</v>
      </c>
      <c r="F2" s="113" t="s">
        <v>5</v>
      </c>
      <c r="G2" s="113" t="s">
        <v>6</v>
      </c>
      <c r="H2" s="114"/>
    </row>
    <row r="3" spans="1:11" ht="14.1" customHeight="1" x14ac:dyDescent="0.3">
      <c r="B3" s="160" t="str">
        <f>IF(AND(YEAR(JanSun1)=CalendarYear,MONTH(JanSun1)=1),JanSun1, "")</f>
        <v/>
      </c>
      <c r="C3" s="152" t="str">
        <f>IF(AND(YEAR(JanSun1+1)=CalendarYear,MONTH(JanSun1+1)=1),JanSun1+1, "")</f>
        <v/>
      </c>
      <c r="D3" s="153" t="str">
        <f>IF(AND(YEAR(JanSun1+2)=CalendarYear,MONTH(JanSun1+2)=1),JanSun1+2, "")</f>
        <v/>
      </c>
      <c r="E3" s="153" t="str">
        <f>IF(AND(YEAR(JanSun1+3)=CalendarYear,MONTH(JanSun1+3)=1),JanSun1+3, "")</f>
        <v/>
      </c>
      <c r="F3" s="153" t="str">
        <f>IF(AND(YEAR(JanSun1+4)=CalendarYear,MONTH(JanSun1+4)=1),JanSun1+4, "")</f>
        <v/>
      </c>
      <c r="G3" s="154">
        <f>IF(AND(YEAR(JanSun1+5)=CalendarYear,MONTH(JanSun1+5)=1),JanSun1+5, "")</f>
        <v>44197</v>
      </c>
      <c r="H3" s="155">
        <f>IF(AND(YEAR(JanSun1+6)=CalendarYear,MONTH(JanSun1+6)=1),JanSun1+6, "")</f>
        <v>44198</v>
      </c>
    </row>
    <row r="4" spans="1:11" ht="111" customHeight="1" x14ac:dyDescent="0.3">
      <c r="A4" s="102"/>
      <c r="B4" s="68"/>
      <c r="C4" s="76"/>
      <c r="D4" s="77"/>
      <c r="E4" s="77"/>
      <c r="F4" s="156"/>
      <c r="G4" s="80"/>
      <c r="H4" s="68"/>
    </row>
    <row r="5" spans="1:11" s="15" customFormat="1" ht="14.1" customHeight="1" x14ac:dyDescent="0.35">
      <c r="A5" s="13"/>
      <c r="B5" s="66">
        <f>IF(AND(YEAR(JanSun1+7)=CalendarYear,MONTH(JanSun1+7)=1),JanSun1+7, "")</f>
        <v>44199</v>
      </c>
      <c r="C5" s="47">
        <f>IF(AND(YEAR(JanSun1+8)=CalendarYear,MONTH(JanSun1+8)=1),JanSun1+8, "")</f>
        <v>44200</v>
      </c>
      <c r="D5" s="42">
        <f>IF(AND(YEAR(JanSun1+9)=CalendarYear,MONTH(JanSun1+9)=1),JanSun1+9, "")</f>
        <v>44201</v>
      </c>
      <c r="E5" s="42">
        <f>IF(AND(YEAR(JanSun1+10)=CalendarYear,MONTH(JanSun1+10)=1),JanSun1+10, "")</f>
        <v>44202</v>
      </c>
      <c r="F5" s="42">
        <f>IF(AND(YEAR(JanSun1+11)=CalendarYear,MONTH(JanSun1+11)=1),JanSun1+11, "")</f>
        <v>44203</v>
      </c>
      <c r="G5" s="48">
        <f>IF(AND(YEAR(JanSun1+12)=CalendarYear,MONTH(JanSun1+12)=1),JanSun1+12,"")</f>
        <v>44204</v>
      </c>
      <c r="H5" s="66">
        <f>IF(AND(YEAR(JanSun1+13)=CalendarYear,MONTH(JanSun1+13)=1),JanSun1+13, "")</f>
        <v>44205</v>
      </c>
    </row>
    <row r="6" spans="1:11" ht="111" customHeight="1" x14ac:dyDescent="0.3">
      <c r="B6" s="68"/>
      <c r="C6" s="76"/>
      <c r="D6" s="77"/>
      <c r="E6" s="77"/>
      <c r="F6" s="77"/>
      <c r="G6" s="80"/>
      <c r="H6" s="68"/>
    </row>
    <row r="7" spans="1:11" s="15" customFormat="1" ht="14.1" customHeight="1" x14ac:dyDescent="0.35">
      <c r="A7" s="13"/>
      <c r="B7" s="66">
        <f>IF(AND(YEAR(JanSun1+14)=CalendarYear,MONTH(JanSun1+14)=1),JanSun1+14, "")</f>
        <v>44206</v>
      </c>
      <c r="C7" s="47">
        <f>IF(AND(YEAR(JanSun1+15)=CalendarYear,MONTH(JanSun1+15)=1),JanSun1+15, "")</f>
        <v>44207</v>
      </c>
      <c r="D7" s="42">
        <f>IF(AND(YEAR(JanSun1+16)=CalendarYear,MONTH(JanSun1+16)=1),JanSun1+16, "")</f>
        <v>44208</v>
      </c>
      <c r="E7" s="42">
        <f>IF(AND(YEAR(JanSun1+17)=CalendarYear,MONTH(JanSun1+17)=1),JanSun1+17, "")</f>
        <v>44209</v>
      </c>
      <c r="F7" s="42">
        <f>IF(AND(YEAR(JanSun1+18)=CalendarYear,MONTH(JanSun1+18)=1),JanSun1+18, "")</f>
        <v>44210</v>
      </c>
      <c r="G7" s="48">
        <f>IF(AND(YEAR(JanSun1+19)=CalendarYear,MONTH(JanSun1+19)=1),JanSun1+19, "")</f>
        <v>44211</v>
      </c>
      <c r="H7" s="66">
        <f>IF(AND(YEAR(JanSun1+20)=CalendarYear,MONTH(JanSun1+20)=1),JanSun1+20, "")</f>
        <v>44212</v>
      </c>
    </row>
    <row r="8" spans="1:11" ht="111" customHeight="1" x14ac:dyDescent="0.3">
      <c r="B8" s="68"/>
      <c r="C8" s="76"/>
      <c r="D8" s="77"/>
      <c r="E8" s="77"/>
      <c r="F8" s="77" t="s">
        <v>74</v>
      </c>
      <c r="G8" s="80"/>
      <c r="H8" s="157"/>
    </row>
    <row r="9" spans="1:11" s="15" customFormat="1" ht="14.1" customHeight="1" x14ac:dyDescent="0.35">
      <c r="A9" s="13"/>
      <c r="B9" s="66">
        <f>IF(AND(YEAR(JanSun1+21)=CalendarYear,MONTH(JanSun1+21)=1),JanSun1+21, "")</f>
        <v>44213</v>
      </c>
      <c r="C9" s="58">
        <f>IF(AND(YEAR(JanSun1+22)=CalendarYear,MONTH(JanSun1+22)=1),JanSun1+22, "")</f>
        <v>44214</v>
      </c>
      <c r="D9" s="21">
        <f>IF(AND(YEAR(JanSun1+23)=CalendarYear,MONTH(JanSun1+23)=1),JanSun1+23, "")</f>
        <v>44215</v>
      </c>
      <c r="E9" s="21">
        <f>IF(AND(YEAR(JanSun1+24)=CalendarYear,MONTH(JanSun1+24)=1),JanSun1+24, "")</f>
        <v>44216</v>
      </c>
      <c r="F9" s="21">
        <f>IF(AND(YEAR(JanSun1+25)=CalendarYear,MONTH(JanSun1+25)=1),JanSun1+25, "")</f>
        <v>44217</v>
      </c>
      <c r="G9" s="59">
        <f>IF(AND(YEAR(JanSun1+26)=CalendarYear,MONTH(JanSun1+26)=1),JanSun1+26, "")</f>
        <v>44218</v>
      </c>
      <c r="H9" s="66">
        <f>IF(AND(YEAR(JanSun1+27)=CalendarYear,MONTH(JanSun1+27)=1),JanSun1+27, "")</f>
        <v>44219</v>
      </c>
    </row>
    <row r="10" spans="1:11" ht="111" customHeight="1" x14ac:dyDescent="0.3">
      <c r="A10" s="102"/>
      <c r="B10" s="161"/>
      <c r="C10" s="128" t="s">
        <v>107</v>
      </c>
      <c r="D10" s="77"/>
      <c r="E10" s="77"/>
      <c r="F10" s="77" t="s">
        <v>72</v>
      </c>
      <c r="G10" s="80"/>
      <c r="H10" s="157"/>
    </row>
    <row r="11" spans="1:11" s="15" customFormat="1" ht="14.1" customHeight="1" x14ac:dyDescent="0.35">
      <c r="A11" s="13"/>
      <c r="B11" s="66">
        <f>IF(AND(YEAR(JanSun1+28)=CalendarYear,MONTH(JanSun1+28)=1),JanSun1+28, "")</f>
        <v>44220</v>
      </c>
      <c r="C11" s="58">
        <f>IF(AND(YEAR(JanSun1+29)=CalendarYear,MONTH(JanSun1+29)=1),JanSun1+29, "")</f>
        <v>44221</v>
      </c>
      <c r="D11" s="21">
        <f>IF(AND(YEAR(JanSun1+30)=CalendarYear,MONTH(JanSun1+30)=1),JanSun1+30, "")</f>
        <v>44222</v>
      </c>
      <c r="E11" s="21">
        <f>IF(AND(YEAR(JanSun1+31)=CalendarYear,MONTH(JanSun1+31)=1),JanSun1+31, "")</f>
        <v>44223</v>
      </c>
      <c r="F11" s="21">
        <f>IF(AND(YEAR(JanSun1+32)=CalendarYear,MONTH(JanSun1+32)=1),JanSun1+32, "")</f>
        <v>44224</v>
      </c>
      <c r="G11" s="59">
        <f>IF(AND(YEAR(JanSun1+33)=CalendarYear,MONTH(JanSun1+33)=1),JanSun1+33, "")</f>
        <v>44225</v>
      </c>
      <c r="H11" s="66">
        <f>IF(AND(YEAR(JanSun1+34)=CalendarYear,MONTH(JanSun1+34)=1),JanSun1+34, "")</f>
        <v>44226</v>
      </c>
    </row>
    <row r="12" spans="1:11" ht="111" customHeight="1" x14ac:dyDescent="0.3">
      <c r="B12" s="161"/>
      <c r="C12" s="158" t="s">
        <v>108</v>
      </c>
      <c r="D12" s="77"/>
      <c r="E12" s="77"/>
      <c r="F12" s="77" t="s">
        <v>73</v>
      </c>
      <c r="G12" s="159"/>
      <c r="H12" s="68"/>
    </row>
    <row r="13" spans="1:11" ht="14.1" hidden="1" customHeight="1" x14ac:dyDescent="0.3">
      <c r="B13" s="40">
        <f>IF(AND(YEAR(JanSun1+35)=CalendarYear,MONTH(JanSun1+35)=1),JanSun1+35, "")</f>
        <v>44227</v>
      </c>
      <c r="C13" s="41" t="str">
        <f>IF(AND(YEAR(JanSun1+36)=CalendarYear,MONTH(JanSun1+36)=1),JanSun1+36, "")</f>
        <v/>
      </c>
      <c r="D13" s="180" t="s">
        <v>12</v>
      </c>
      <c r="E13" s="180"/>
      <c r="F13" s="180"/>
      <c r="G13" s="180"/>
      <c r="H13" s="181"/>
    </row>
    <row r="14" spans="1:11" ht="57.95" hidden="1" customHeight="1" thickBot="1" x14ac:dyDescent="0.35">
      <c r="B14" s="9"/>
      <c r="C14" s="10"/>
      <c r="D14" s="177"/>
      <c r="E14" s="178"/>
      <c r="F14" s="178"/>
      <c r="G14" s="178"/>
      <c r="H14" s="179"/>
    </row>
  </sheetData>
  <mergeCells count="3">
    <mergeCell ref="B1:H1"/>
    <mergeCell ref="D14:H14"/>
    <mergeCell ref="D13:H13"/>
  </mergeCells>
  <phoneticPr fontId="1" type="noConversion"/>
  <dataValidations count="1">
    <dataValidation type="list" allowBlank="1" showInputMessage="1" showErrorMessage="1" sqref="K1" xr:uid="{00000000-0002-0000-0000-000000000000}">
      <formula1>Year</formula1>
    </dataValidation>
  </dataValidations>
  <pageMargins left="0.7" right="0.7" top="0.75" bottom="0.75" header="0.3" footer="0.3"/>
  <pageSetup scale="74" orientation="portrait" r:id="rId1"/>
  <customProperties>
    <customPr name="SheetChange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  <pageSetUpPr autoPageBreaks="0" fitToPage="1"/>
  </sheetPr>
  <dimension ref="A1:H12"/>
  <sheetViews>
    <sheetView showGridLines="0" topLeftCell="B1" zoomScale="75" zoomScaleNormal="75" workbookViewId="0">
      <selection activeCell="B1" sqref="B1:H12"/>
    </sheetView>
  </sheetViews>
  <sheetFormatPr defaultColWidth="8.625" defaultRowHeight="16.5" x14ac:dyDescent="0.3"/>
  <cols>
    <col min="1" max="1" width="2.375" style="27" hidden="1" customWidth="1"/>
    <col min="2" max="2" width="4.625" style="29" customWidth="1"/>
    <col min="3" max="7" width="20.625" style="29" customWidth="1"/>
    <col min="8" max="8" width="4.625" style="29" customWidth="1"/>
    <col min="9" max="16384" width="8.625" style="29"/>
  </cols>
  <sheetData>
    <row r="1" spans="1:8" s="27" customFormat="1" ht="39.950000000000003" customHeight="1" x14ac:dyDescent="0.3">
      <c r="A1" s="6"/>
      <c r="B1" s="203">
        <f>DATE(CalendarYear,10,1)</f>
        <v>44470</v>
      </c>
      <c r="C1" s="203"/>
      <c r="D1" s="203"/>
      <c r="E1" s="203"/>
      <c r="F1" s="203"/>
      <c r="G1" s="203"/>
      <c r="H1" s="203"/>
    </row>
    <row r="2" spans="1:8" s="28" customFormat="1" ht="21.75" customHeight="1" x14ac:dyDescent="0.35">
      <c r="A2" s="13"/>
      <c r="B2" s="137" t="s">
        <v>1</v>
      </c>
      <c r="C2" s="113" t="s">
        <v>2</v>
      </c>
      <c r="D2" s="113" t="s">
        <v>3</v>
      </c>
      <c r="E2" s="113" t="s">
        <v>4</v>
      </c>
      <c r="F2" s="113" t="s">
        <v>5</v>
      </c>
      <c r="G2" s="113" t="s">
        <v>6</v>
      </c>
      <c r="H2" s="114" t="s">
        <v>7</v>
      </c>
    </row>
    <row r="3" spans="1:8" s="28" customFormat="1" ht="14.1" customHeight="1" x14ac:dyDescent="0.35">
      <c r="A3" s="103"/>
      <c r="B3" s="73" t="str">
        <f>IF(AND(YEAR(OctSun1)=CalendarYear,MONTH(OctSun1)=10),OctSun1, "")</f>
        <v/>
      </c>
      <c r="C3" s="47" t="str">
        <f>IF(AND(YEAR(OctSun1+1)=CalendarYear,MONTH(OctSun1+1)=10),OctSun1+1, "")</f>
        <v/>
      </c>
      <c r="D3" s="42" t="str">
        <f>IF(AND(YEAR(OctSun1+2)=CalendarYear,MONTH(OctSun1+2)=10),OctSun1+2, "")</f>
        <v/>
      </c>
      <c r="E3" s="42" t="str">
        <f>IF(AND(YEAR(OctSun1+3)=CalendarYear,MONTH(OctSun1+3)=10),OctSun1+3, "")</f>
        <v/>
      </c>
      <c r="F3" s="42" t="str">
        <f>IF(AND(YEAR(OctSun1+4)=CalendarYear,MONTH(OctSun1+4)=10),OctSun1+4, "")</f>
        <v/>
      </c>
      <c r="G3" s="48">
        <f>IF(AND(YEAR(OctSun1+5)=CalendarYear,MONTH(OctSun1+5)=10),OctSun1+5, "")</f>
        <v>44470</v>
      </c>
      <c r="H3" s="75">
        <f>IF(AND(YEAR(OctSun1+6)=CalendarYear,MONTH(OctSun1+6)=10),OctSun1+6, "")</f>
        <v>44471</v>
      </c>
    </row>
    <row r="4" spans="1:8" ht="111" customHeight="1" x14ac:dyDescent="0.3">
      <c r="A4" s="104"/>
      <c r="B4" s="68"/>
      <c r="C4" s="119"/>
      <c r="D4" s="86"/>
      <c r="E4" s="120"/>
      <c r="F4" s="84"/>
      <c r="G4" s="80" t="s">
        <v>48</v>
      </c>
      <c r="H4" s="68"/>
    </row>
    <row r="5" spans="1:8" s="28" customFormat="1" ht="14.1" customHeight="1" x14ac:dyDescent="0.35">
      <c r="A5" s="103"/>
      <c r="B5" s="66">
        <f>IF(AND(YEAR(OctSun1+7)=CalendarYear,MONTH(OctSun1+7)=10),OctSun1+7, "")</f>
        <v>44472</v>
      </c>
      <c r="C5" s="47">
        <f>IF(AND(YEAR(OctSun1+8)=CalendarYear,MONTH(OctSun1+8)=10),OctSun1+8, "")</f>
        <v>44473</v>
      </c>
      <c r="D5" s="42">
        <f>IF(AND(YEAR(OctSun1+9)=CalendarYear,MONTH(OctSun1+9)=10),OctSun1+9, "")</f>
        <v>44474</v>
      </c>
      <c r="E5" s="42">
        <f>IF(AND(YEAR(OctSun1+10)=CalendarYear,MONTH(OctSun1+10)=10),OctSun1+10, "")</f>
        <v>44475</v>
      </c>
      <c r="F5" s="42">
        <f>IF(AND(YEAR(OctSun1+11)=CalendarYear,MONTH(OctSun1+11)=10),OctSun1+11, "")</f>
        <v>44476</v>
      </c>
      <c r="G5" s="48">
        <f>IF(AND(YEAR(OctSun1+12)=CalendarYear,MONTH(OctSun1+12)=10),OctSun1+12,"")</f>
        <v>44477</v>
      </c>
      <c r="H5" s="66">
        <f>IF(AND(YEAR(OctSun1+13)=CalendarYear,MONTH(OctSun1+13)=10),OctSun1+13, "")</f>
        <v>44478</v>
      </c>
    </row>
    <row r="6" spans="1:8" ht="111" customHeight="1" x14ac:dyDescent="0.3">
      <c r="A6" s="104"/>
      <c r="B6" s="68"/>
      <c r="C6" s="139" t="s">
        <v>90</v>
      </c>
      <c r="D6" s="86"/>
      <c r="E6" s="140" t="s">
        <v>86</v>
      </c>
      <c r="F6" s="84"/>
      <c r="G6" s="121" t="s">
        <v>94</v>
      </c>
      <c r="H6" s="68"/>
    </row>
    <row r="7" spans="1:8" s="28" customFormat="1" ht="14.1" customHeight="1" x14ac:dyDescent="0.35">
      <c r="A7" s="103"/>
      <c r="B7" s="66">
        <f>IF(AND(YEAR(OctSun1+14)=CalendarYear,MONTH(OctSun1+14)=10),OctSun1+14, "")</f>
        <v>44479</v>
      </c>
      <c r="C7" s="47">
        <f>IF(AND(YEAR(OctSun1+15)=CalendarYear,MONTH(OctSun1+15)=10),OctSun1+15, "")</f>
        <v>44480</v>
      </c>
      <c r="D7" s="42">
        <f>IF(AND(YEAR(OctSun1+16)=CalendarYear,MONTH(OctSun1+16)=10),OctSun1+16, "")</f>
        <v>44481</v>
      </c>
      <c r="E7" s="42">
        <f>IF(AND(YEAR(OctSun1+17)=CalendarYear,MONTH(OctSun1+17)=10),OctSun1+17, "")</f>
        <v>44482</v>
      </c>
      <c r="F7" s="42">
        <f>IF(AND(YEAR(OctSun1+18)=CalendarYear,MONTH(OctSun1+18)=10),OctSun1+18, "")</f>
        <v>44483</v>
      </c>
      <c r="G7" s="48">
        <f>IF(AND(YEAR(OctSun1+19)=CalendarYear,MONTH(OctSun1+19)=10),OctSun1+19, "")</f>
        <v>44484</v>
      </c>
      <c r="H7" s="66">
        <f>IF(AND(YEAR(OctSun1+20)=CalendarYear,MONTH(OctSun1+20)=10),OctSun1+20, "")</f>
        <v>44485</v>
      </c>
    </row>
    <row r="8" spans="1:8" ht="111" customHeight="1" x14ac:dyDescent="0.3">
      <c r="A8" s="102"/>
      <c r="B8" s="68"/>
      <c r="C8" s="139" t="s">
        <v>84</v>
      </c>
      <c r="D8" s="120"/>
      <c r="E8" s="120" t="s">
        <v>63</v>
      </c>
      <c r="F8" s="140" t="s">
        <v>91</v>
      </c>
      <c r="G8" s="80" t="s">
        <v>48</v>
      </c>
      <c r="H8" s="68"/>
    </row>
    <row r="9" spans="1:8" s="28" customFormat="1" ht="14.1" customHeight="1" x14ac:dyDescent="0.35">
      <c r="A9" s="103"/>
      <c r="B9" s="66">
        <f>IF(AND(YEAR(OctSun1+21)=CalendarYear,MONTH(OctSun1+21)=10),OctSun1+21, "")</f>
        <v>44486</v>
      </c>
      <c r="C9" s="58">
        <f>IF(AND(YEAR(OctSun1+22)=CalendarYear,MONTH(OctSun1+22)=10),OctSun1+22, "")</f>
        <v>44487</v>
      </c>
      <c r="D9" s="21">
        <f>IF(AND(YEAR(OctSun1+23)=CalendarYear,MONTH(OctSun1+23)=10),OctSun1+23, "")</f>
        <v>44488</v>
      </c>
      <c r="E9" s="21">
        <f>IF(AND(YEAR(OctSun1+24)=CalendarYear,MONTH(OctSun1+24)=10),OctSun1+24, "")</f>
        <v>44489</v>
      </c>
      <c r="F9" s="21">
        <f>IF(AND(YEAR(OctSun1+25)=CalendarYear,MONTH(OctSun1+25)=10),OctSun1+25, "")</f>
        <v>44490</v>
      </c>
      <c r="G9" s="59">
        <f>IF(AND(YEAR(OctSun1+26)=CalendarYear,MONTH(OctSun1+26)=10),OctSun1+26, "")</f>
        <v>44491</v>
      </c>
      <c r="H9" s="66">
        <f>IF(AND(YEAR(OctSun1+27)=CalendarYear,MONTH(OctSun1+27)=10),OctSun1+27, "")</f>
        <v>44492</v>
      </c>
    </row>
    <row r="10" spans="1:8" ht="111" customHeight="1" x14ac:dyDescent="0.3">
      <c r="A10" s="104"/>
      <c r="B10" s="68"/>
      <c r="C10" s="133"/>
      <c r="D10" s="120" t="s">
        <v>85</v>
      </c>
      <c r="E10" s="120" t="s">
        <v>87</v>
      </c>
      <c r="F10" s="140" t="s">
        <v>89</v>
      </c>
      <c r="G10" s="121" t="s">
        <v>93</v>
      </c>
      <c r="H10" s="68"/>
    </row>
    <row r="11" spans="1:8" s="28" customFormat="1" ht="14.1" customHeight="1" x14ac:dyDescent="0.35">
      <c r="A11" s="103"/>
      <c r="B11" s="66">
        <f>IF(AND(YEAR(OctSun1+28)=CalendarYear,MONTH(OctSun1+28)=10),OctSun1+28, "")</f>
        <v>44493</v>
      </c>
      <c r="C11" s="58">
        <f>IF(AND(YEAR(OctSun1+29)=CalendarYear,MONTH(OctSun1+29)=10),OctSun1+29, "")</f>
        <v>44494</v>
      </c>
      <c r="D11" s="21">
        <f>IF(AND(YEAR(OctSun1+30)=CalendarYear,MONTH(OctSun1+30)=10),OctSun1+30, "")</f>
        <v>44495</v>
      </c>
      <c r="E11" s="21">
        <f>IF(AND(YEAR(OctSun1+31)=CalendarYear,MONTH(OctSun1+31)=10),OctSun1+31, "")</f>
        <v>44496</v>
      </c>
      <c r="F11" s="21">
        <f>IF(AND(YEAR(OctSun1+32)=CalendarYear,MONTH(OctSun1+32)=10),OctSun1+32, "")</f>
        <v>44497</v>
      </c>
      <c r="G11" s="59">
        <f>IF(AND(YEAR(OctSun1+33)=CalendarYear,MONTH(OctSun1+33)=10),OctSun1+33, "")</f>
        <v>44498</v>
      </c>
      <c r="H11" s="66">
        <f>IF(AND(YEAR(OctSun1+34)=CalendarYear,MONTH(OctSun1+34)=10),OctSun1+34, "")</f>
        <v>44499</v>
      </c>
    </row>
    <row r="12" spans="1:8" ht="111" customHeight="1" x14ac:dyDescent="0.3">
      <c r="A12" s="102"/>
      <c r="B12" s="68"/>
      <c r="C12" s="139" t="s">
        <v>92</v>
      </c>
      <c r="D12" s="120"/>
      <c r="E12" s="77" t="s">
        <v>35</v>
      </c>
      <c r="F12" s="77"/>
      <c r="G12" s="80" t="s">
        <v>46</v>
      </c>
      <c r="H12" s="138" t="s">
        <v>88</v>
      </c>
    </row>
  </sheetData>
  <mergeCells count="1">
    <mergeCell ref="B1:H1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autoPageBreaks="0" fitToPage="1"/>
  </sheetPr>
  <dimension ref="A1:H14"/>
  <sheetViews>
    <sheetView showGridLines="0" topLeftCell="B1" zoomScale="75" zoomScaleNormal="75" workbookViewId="0">
      <selection activeCell="B1" sqref="B1:H12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6384" width="8.625" style="7"/>
  </cols>
  <sheetData>
    <row r="1" spans="1:8" s="6" customFormat="1" ht="39.950000000000003" customHeight="1" thickBot="1" x14ac:dyDescent="0.35">
      <c r="B1" s="182">
        <f>DATE(CalendarYear,11,1)</f>
        <v>44501</v>
      </c>
      <c r="C1" s="182"/>
      <c r="D1" s="182"/>
      <c r="E1" s="182"/>
      <c r="F1" s="182"/>
      <c r="G1" s="182"/>
      <c r="H1" s="182"/>
    </row>
    <row r="2" spans="1:8" s="15" customFormat="1" ht="21.75" customHeight="1" x14ac:dyDescent="0.35">
      <c r="A2" s="13"/>
      <c r="B2" s="143" t="s">
        <v>1</v>
      </c>
      <c r="C2" s="141" t="s">
        <v>2</v>
      </c>
      <c r="D2" s="141" t="s">
        <v>3</v>
      </c>
      <c r="E2" s="141" t="s">
        <v>4</v>
      </c>
      <c r="F2" s="141" t="s">
        <v>5</v>
      </c>
      <c r="G2" s="141" t="s">
        <v>6</v>
      </c>
      <c r="H2" s="142" t="s">
        <v>7</v>
      </c>
    </row>
    <row r="3" spans="1:8" s="15" customFormat="1" ht="14.1" customHeight="1" x14ac:dyDescent="0.35">
      <c r="A3" s="13"/>
      <c r="B3" s="73" t="str">
        <f>IF(AND(YEAR(NovSun1)=CalendarYear,MONTH(NovSun1)=11),NovSun1, "")</f>
        <v/>
      </c>
      <c r="C3" s="17">
        <f>IF(AND(YEAR(NovSun1+1)=CalendarYear,MONTH(NovSun1+1)=11),NovSun1+1, "")</f>
        <v>44501</v>
      </c>
      <c r="D3" s="14">
        <f>IF(AND(YEAR(NovSun1+2)=CalendarYear,MONTH(NovSun1+2)=11),NovSun1+2, "")</f>
        <v>44502</v>
      </c>
      <c r="E3" s="14">
        <f>IF(AND(YEAR(NovSun1+3)=CalendarYear,MONTH(NovSun1+3)=11),NovSun1+3, "")</f>
        <v>44503</v>
      </c>
      <c r="F3" s="14">
        <f>IF(AND(YEAR(NovSun1+4)=CalendarYear,MONTH(NovSun1+4)=11),NovSun1+4, "")</f>
        <v>44504</v>
      </c>
      <c r="G3" s="65">
        <f>IF(AND(YEAR(NovSun1+5)=CalendarYear,MONTH(NovSun1+5)=11),NovSun1+5, "")</f>
        <v>44505</v>
      </c>
      <c r="H3" s="75">
        <f>IF(AND(YEAR(NovSun1+6)=CalendarYear,MONTH(NovSun1+6)=11),NovSun1+6, "")</f>
        <v>44506</v>
      </c>
    </row>
    <row r="4" spans="1:8" ht="111" customHeight="1" x14ac:dyDescent="0.3">
      <c r="A4" s="102"/>
      <c r="B4" s="68"/>
      <c r="C4" s="76" t="s">
        <v>97</v>
      </c>
      <c r="D4" s="86"/>
      <c r="E4" s="77" t="s">
        <v>51</v>
      </c>
      <c r="F4" s="84"/>
      <c r="G4" s="80" t="s">
        <v>49</v>
      </c>
      <c r="H4" s="68"/>
    </row>
    <row r="5" spans="1:8" s="15" customFormat="1" ht="14.1" customHeight="1" x14ac:dyDescent="0.35">
      <c r="A5" s="13"/>
      <c r="B5" s="66">
        <f>IF(AND(YEAR(NovSun1+7)=CalendarYear,MONTH(NovSun1+7)=11),NovSun1+7, "")</f>
        <v>44507</v>
      </c>
      <c r="C5" s="47">
        <f>IF(AND(YEAR(NovSun1+8)=CalendarYear,MONTH(NovSun1+8)=11),NovSun1+8, "")</f>
        <v>44508</v>
      </c>
      <c r="D5" s="42">
        <f>IF(AND(YEAR(NovSun1+9)=CalendarYear,MONTH(NovSun1+9)=11),NovSun1+9, "")</f>
        <v>44509</v>
      </c>
      <c r="E5" s="42">
        <f>IF(AND(YEAR(NovSun1+10)=CalendarYear,MONTH(NovSun1+10)=11),NovSun1+10, "")</f>
        <v>44510</v>
      </c>
      <c r="F5" s="42">
        <f>IF(AND(YEAR(NovSun1+11)=CalendarYear,MONTH(NovSun1+11)=11),NovSun1+11, "")</f>
        <v>44511</v>
      </c>
      <c r="G5" s="48">
        <f>IF(AND(YEAR(NovSun1+12)=CalendarYear,MONTH(NovSun1+12)=11),NovSun1+12,"")</f>
        <v>44512</v>
      </c>
      <c r="H5" s="66">
        <f>IF(AND(YEAR(NovSun1+13)=CalendarYear,MONTH(NovSun1+13)=11),NovSun1+13, "")</f>
        <v>44513</v>
      </c>
    </row>
    <row r="6" spans="1:8" ht="111" customHeight="1" x14ac:dyDescent="0.3">
      <c r="A6" s="102"/>
      <c r="B6" s="68"/>
      <c r="C6" s="76" t="s">
        <v>97</v>
      </c>
      <c r="D6" s="86"/>
      <c r="E6" s="77" t="s">
        <v>35</v>
      </c>
      <c r="F6" s="77"/>
      <c r="G6" s="80" t="s">
        <v>102</v>
      </c>
      <c r="H6" s="91"/>
    </row>
    <row r="7" spans="1:8" s="15" customFormat="1" ht="14.1" customHeight="1" x14ac:dyDescent="0.35">
      <c r="A7" s="13"/>
      <c r="B7" s="66">
        <f>IF(AND(YEAR(NovSun1+14)=CalendarYear,MONTH(NovSun1+14)=11),NovSun1+14, "")</f>
        <v>44514</v>
      </c>
      <c r="C7" s="47">
        <f>IF(AND(YEAR(NovSun1+15)=CalendarYear,MONTH(NovSun1+15)=11),NovSun1+15, "")</f>
        <v>44515</v>
      </c>
      <c r="D7" s="42">
        <f>IF(AND(YEAR(NovSun1+16)=CalendarYear,MONTH(NovSun1+16)=11),NovSun1+16, "")</f>
        <v>44516</v>
      </c>
      <c r="E7" s="145">
        <f>IF(AND(YEAR(NovSun1+17)=CalendarYear,MONTH(NovSun1+17)=11),NovSun1+17, "")</f>
        <v>44517</v>
      </c>
      <c r="F7" s="42">
        <f>IF(AND(YEAR(NovSun1+18)=CalendarYear,MONTH(NovSun1+18)=11),NovSun1+18, "")</f>
        <v>44518</v>
      </c>
      <c r="G7" s="48">
        <f>IF(AND(YEAR(NovSun1+19)=CalendarYear,MONTH(NovSun1+19)=11),NovSun1+19, "")</f>
        <v>44519</v>
      </c>
      <c r="H7" s="66">
        <f>IF(AND(YEAR(NovSun1+20)=CalendarYear,MONTH(NovSun1+20)=11),NovSun1+20, "")</f>
        <v>44520</v>
      </c>
    </row>
    <row r="8" spans="1:8" ht="111" customHeight="1" x14ac:dyDescent="0.3">
      <c r="A8" s="102"/>
      <c r="B8" s="68"/>
      <c r="C8" s="128" t="s">
        <v>98</v>
      </c>
      <c r="D8" s="77" t="s">
        <v>95</v>
      </c>
      <c r="E8" s="77" t="s">
        <v>15</v>
      </c>
      <c r="F8" s="77" t="s">
        <v>100</v>
      </c>
      <c r="G8" s="80" t="s">
        <v>49</v>
      </c>
      <c r="H8" s="68"/>
    </row>
    <row r="9" spans="1:8" s="15" customFormat="1" ht="14.1" customHeight="1" x14ac:dyDescent="0.35">
      <c r="A9" s="13"/>
      <c r="B9" s="66">
        <f>IF(AND(YEAR(NovSun1+21)=CalendarYear,MONTH(NovSun1+21)=11),NovSun1+21, "")</f>
        <v>44521</v>
      </c>
      <c r="C9" s="58">
        <f>IF(AND(YEAR(NovSun1+22)=CalendarYear,MONTH(NovSun1+22)=11),NovSun1+22, "")</f>
        <v>44522</v>
      </c>
      <c r="D9" s="21">
        <f>IF(AND(YEAR(NovSun1+23)=CalendarYear,MONTH(NovSun1+23)=11),NovSun1+23, "")</f>
        <v>44523</v>
      </c>
      <c r="E9" s="21">
        <f>IF(AND(YEAR(NovSun1+24)=CalendarYear,MONTH(NovSun1+24)=11),NovSun1+24, "")</f>
        <v>44524</v>
      </c>
      <c r="F9" s="21">
        <f>IF(AND(YEAR(NovSun1+25)=CalendarYear,MONTH(NovSun1+25)=11),NovSun1+25, "")</f>
        <v>44525</v>
      </c>
      <c r="G9" s="59">
        <f>IF(AND(YEAR(NovSun1+26)=CalendarYear,MONTH(NovSun1+26)=11),NovSun1+26, "")</f>
        <v>44526</v>
      </c>
      <c r="H9" s="66">
        <f>IF(AND(YEAR(NovSun1+27)=CalendarYear,MONTH(NovSun1+27)=11),NovSun1+27, "")</f>
        <v>44527</v>
      </c>
    </row>
    <row r="10" spans="1:8" ht="111" customHeight="1" x14ac:dyDescent="0.3">
      <c r="B10" s="68"/>
      <c r="C10" s="76" t="s">
        <v>101</v>
      </c>
      <c r="D10" s="77"/>
      <c r="E10" s="77" t="s">
        <v>99</v>
      </c>
      <c r="F10" s="77"/>
      <c r="G10" s="80" t="s">
        <v>103</v>
      </c>
      <c r="H10" s="68"/>
    </row>
    <row r="11" spans="1:8" s="15" customFormat="1" ht="14.1" customHeight="1" x14ac:dyDescent="0.35">
      <c r="A11" s="13"/>
      <c r="B11" s="66">
        <f>IF(AND(YEAR(NovSun1+28)=CalendarYear,MONTH(NovSun1+28)=11),NovSun1+28, "")</f>
        <v>44528</v>
      </c>
      <c r="C11" s="58">
        <f>IF(AND(YEAR(NovSun1+29)=CalendarYear,MONTH(NovSun1+29)=11),NovSun1+29, "")</f>
        <v>44529</v>
      </c>
      <c r="D11" s="21">
        <f>IF(AND(YEAR(NovSun1+30)=CalendarYear,MONTH(NovSun1+30)=11),NovSun1+30, "")</f>
        <v>44530</v>
      </c>
      <c r="E11" s="21" t="str">
        <f>IF(AND(YEAR(NovSun1+31)=CalendarYear,MONTH(NovSun1+31)=11),NovSun1+31, "")</f>
        <v/>
      </c>
      <c r="F11" s="21" t="str">
        <f>IF(AND(YEAR(NovSun1+32)=CalendarYear,MONTH(NovSun1+32)=11),NovSun1+32, "")</f>
        <v/>
      </c>
      <c r="G11" s="59" t="str">
        <f>IF(AND(YEAR(NovSun1+33)=CalendarYear,MONTH(NovSun1+33)=11),NovSun1+33, "")</f>
        <v/>
      </c>
      <c r="H11" s="66" t="str">
        <f>IF(AND(YEAR(NovSun1+34)=CalendarYear,MONTH(NovSun1+34)=11),NovSun1+34, "")</f>
        <v/>
      </c>
    </row>
    <row r="12" spans="1:8" ht="111" customHeight="1" x14ac:dyDescent="0.3">
      <c r="B12" s="68"/>
      <c r="C12" s="76" t="s">
        <v>96</v>
      </c>
      <c r="D12" s="77"/>
      <c r="E12" s="77"/>
      <c r="F12" s="144"/>
      <c r="G12" s="80"/>
      <c r="H12" s="68"/>
    </row>
    <row r="13" spans="1:8" ht="14.1" hidden="1" customHeight="1" x14ac:dyDescent="0.3">
      <c r="B13" s="40" t="str">
        <f>IF(AND(YEAR(NovSun1+35)=CalendarYear,MONTH(NovSun1+35)=11),NovSun1+35, "")</f>
        <v/>
      </c>
      <c r="C13" s="180" t="s">
        <v>12</v>
      </c>
      <c r="D13" s="180"/>
      <c r="E13" s="180"/>
      <c r="F13" s="180"/>
      <c r="G13" s="180"/>
      <c r="H13" s="181"/>
    </row>
    <row r="14" spans="1:8" ht="57.95" hidden="1" customHeight="1" thickBot="1" x14ac:dyDescent="0.35">
      <c r="B14" s="9"/>
      <c r="C14" s="177"/>
      <c r="D14" s="178"/>
      <c r="E14" s="178"/>
      <c r="F14" s="178"/>
      <c r="G14" s="178"/>
      <c r="H14" s="179"/>
    </row>
  </sheetData>
  <mergeCells count="3">
    <mergeCell ref="B1:H1"/>
    <mergeCell ref="C13:H13"/>
    <mergeCell ref="C14:H1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  <pageSetUpPr autoPageBreaks="0" fitToPage="1"/>
  </sheetPr>
  <dimension ref="A1:H14"/>
  <sheetViews>
    <sheetView showGridLines="0" topLeftCell="B1" zoomScale="75" zoomScaleNormal="75" workbookViewId="0">
      <selection activeCell="B1" sqref="B1:H12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6384" width="8.625" style="7"/>
  </cols>
  <sheetData>
    <row r="1" spans="1:8" s="6" customFormat="1" ht="39.950000000000003" customHeight="1" x14ac:dyDescent="0.3">
      <c r="B1" s="182">
        <f>DATE(CalendarYear,12,1)</f>
        <v>44531</v>
      </c>
      <c r="C1" s="182"/>
      <c r="D1" s="182"/>
      <c r="E1" s="182"/>
      <c r="F1" s="182"/>
      <c r="G1" s="182"/>
      <c r="H1" s="182"/>
    </row>
    <row r="2" spans="1:8" s="15" customFormat="1" ht="21.75" customHeight="1" x14ac:dyDescent="0.35">
      <c r="A2" s="151"/>
      <c r="B2" s="112" t="s">
        <v>1</v>
      </c>
      <c r="C2" s="113" t="s">
        <v>2</v>
      </c>
      <c r="D2" s="113" t="s">
        <v>3</v>
      </c>
      <c r="E2" s="113" t="s">
        <v>4</v>
      </c>
      <c r="F2" s="113" t="s">
        <v>5</v>
      </c>
      <c r="G2" s="113" t="s">
        <v>6</v>
      </c>
      <c r="H2" s="114" t="s">
        <v>7</v>
      </c>
    </row>
    <row r="3" spans="1:8" s="15" customFormat="1" ht="14.1" customHeight="1" x14ac:dyDescent="0.35">
      <c r="A3" s="103"/>
      <c r="B3" s="150" t="str">
        <f>IF(AND(YEAR(DecSun1)=CalendarYear,MONTH(DecSun1)=12),DecSun1, "")</f>
        <v/>
      </c>
      <c r="C3" s="47" t="str">
        <f>IF(AND(YEAR(DecSun1+1)=CalendarYear,MONTH(DecSun1+1)=12),DecSun1+1, "")</f>
        <v/>
      </c>
      <c r="D3" s="42" t="str">
        <f>IF(AND(YEAR(DecSun1+2)=CalendarYear,MONTH(DecSun1+2)=12),DecSun1+2, "")</f>
        <v/>
      </c>
      <c r="E3" s="42">
        <f>IF(AND(YEAR(DecSun1+3)=CalendarYear,MONTH(DecSun1+3)=12),DecSun1+3, "")</f>
        <v>44531</v>
      </c>
      <c r="F3" s="42">
        <f>IF(AND(YEAR(DecSun1+4)=CalendarYear,MONTH(DecSun1+4)=12),DecSun1+4, "")</f>
        <v>44532</v>
      </c>
      <c r="G3" s="48">
        <f>IF(AND(YEAR(DecSun1+5)=CalendarYear,MONTH(DecSun1+5)=12),DecSun1+5, "")</f>
        <v>44533</v>
      </c>
      <c r="H3" s="66">
        <f>IF(AND(YEAR(DecSun1+6)=CalendarYear,MONTH(DecSun1+6)=12),DecSun1+6, "")</f>
        <v>44534</v>
      </c>
    </row>
    <row r="4" spans="1:8" ht="111" customHeight="1" x14ac:dyDescent="0.3">
      <c r="A4" s="102"/>
      <c r="B4" s="68"/>
      <c r="C4" s="76"/>
      <c r="D4" s="86"/>
      <c r="E4" s="147"/>
      <c r="F4" s="84"/>
      <c r="G4" s="80"/>
      <c r="H4" s="68"/>
    </row>
    <row r="5" spans="1:8" s="15" customFormat="1" ht="14.1" customHeight="1" x14ac:dyDescent="0.35">
      <c r="A5" s="103"/>
      <c r="B5" s="66">
        <f>IF(AND(YEAR(DecSun1+7)=CalendarYear,MONTH(DecSun1+7)=12),DecSun1+7, "")</f>
        <v>44535</v>
      </c>
      <c r="C5" s="47">
        <f>IF(AND(YEAR(DecSun1+8)=CalendarYear,MONTH(DecSun1+8)=12),DecSun1+8, "")</f>
        <v>44536</v>
      </c>
      <c r="D5" s="42">
        <f>IF(AND(YEAR(DecSun1+9)=CalendarYear,MONTH(DecSun1+9)=12),DecSun1+9, "")</f>
        <v>44537</v>
      </c>
      <c r="E5" s="42">
        <f>IF(AND(YEAR(DecSun1+10)=CalendarYear,MONTH(DecSun1+10)=12),DecSun1+10, "")</f>
        <v>44538</v>
      </c>
      <c r="F5" s="42">
        <f>IF(AND(YEAR(DecSun1+11)=CalendarYear,MONTH(DecSun1+11)=12),DecSun1+11, "")</f>
        <v>44539</v>
      </c>
      <c r="G5" s="48">
        <f>IF(AND(YEAR(DecSun1+12)=CalendarYear,MONTH(DecSun1+12)=12),DecSun1+12,"")</f>
        <v>44540</v>
      </c>
      <c r="H5" s="66">
        <f>IF(AND(YEAR(DecSun1+13)=CalendarYear,MONTH(DecSun1+13)=12),DecSun1+13, "")</f>
        <v>44541</v>
      </c>
    </row>
    <row r="6" spans="1:8" ht="111" customHeight="1" x14ac:dyDescent="0.3">
      <c r="A6" s="102"/>
      <c r="B6" s="68"/>
      <c r="C6" s="76"/>
      <c r="D6" s="77"/>
      <c r="E6" s="77"/>
      <c r="F6" s="84"/>
      <c r="G6" s="80"/>
      <c r="H6" s="68"/>
    </row>
    <row r="7" spans="1:8" s="15" customFormat="1" ht="14.1" customHeight="1" x14ac:dyDescent="0.35">
      <c r="A7" s="103"/>
      <c r="B7" s="66">
        <f>IF(AND(YEAR(DecSun1+14)=CalendarYear,MONTH(DecSun1+14)=12),DecSun1+14, "")</f>
        <v>44542</v>
      </c>
      <c r="C7" s="47">
        <f>IF(AND(YEAR(DecSun1+15)=CalendarYear,MONTH(DecSun1+15)=12),DecSun1+15, "")</f>
        <v>44543</v>
      </c>
      <c r="D7" s="42">
        <f>IF(AND(YEAR(DecSun1+16)=CalendarYear,MONTH(DecSun1+16)=12),DecSun1+16, "")</f>
        <v>44544</v>
      </c>
      <c r="E7" s="42">
        <f>IF(AND(YEAR(DecSun1+17)=CalendarYear,MONTH(DecSun1+17)=12),DecSun1+17, "")</f>
        <v>44545</v>
      </c>
      <c r="F7" s="42">
        <f>IF(AND(YEAR(DecSun1+18)=CalendarYear,MONTH(DecSun1+18)=12),DecSun1+18, "")</f>
        <v>44546</v>
      </c>
      <c r="G7" s="48">
        <f>IF(AND(YEAR(DecSun1+19)=CalendarYear,MONTH(DecSun1+19)=12),DecSun1+19, "")</f>
        <v>44547</v>
      </c>
      <c r="H7" s="66">
        <f>IF(AND(YEAR(DecSun1+20)=CalendarYear,MONTH(DecSun1+20)=12),DecSun1+20, "")</f>
        <v>44548</v>
      </c>
    </row>
    <row r="8" spans="1:8" ht="111" customHeight="1" x14ac:dyDescent="0.3">
      <c r="A8" s="102"/>
      <c r="B8" s="68"/>
      <c r="C8" s="76"/>
      <c r="D8" s="77"/>
      <c r="E8" s="77"/>
      <c r="F8" s="77" t="s">
        <v>105</v>
      </c>
      <c r="G8" s="80"/>
      <c r="H8" s="68"/>
    </row>
    <row r="9" spans="1:8" s="15" customFormat="1" ht="14.1" customHeight="1" x14ac:dyDescent="0.35">
      <c r="A9" s="103"/>
      <c r="B9" s="66">
        <f>IF(AND(YEAR(DecSun1+21)=CalendarYear,MONTH(DecSun1+21)=12),DecSun1+21, "")</f>
        <v>44549</v>
      </c>
      <c r="C9" s="58">
        <f>IF(AND(YEAR(DecSun1+22)=CalendarYear,MONTH(DecSun1+22)=12),DecSun1+22, "")</f>
        <v>44550</v>
      </c>
      <c r="D9" s="21">
        <f>IF(AND(YEAR(DecSun1+23)=CalendarYear,MONTH(DecSun1+23)=12),DecSun1+23, "")</f>
        <v>44551</v>
      </c>
      <c r="E9" s="21">
        <f>IF(AND(YEAR(DecSun1+24)=CalendarYear,MONTH(DecSun1+24)=12),DecSun1+24, "")</f>
        <v>44552</v>
      </c>
      <c r="F9" s="21">
        <f>IF(AND(YEAR(DecSun1+25)=CalendarYear,MONTH(DecSun1+25)=12),DecSun1+25, "")</f>
        <v>44553</v>
      </c>
      <c r="G9" s="59">
        <f>IF(AND(YEAR(DecSun1+26)=CalendarYear,MONTH(DecSun1+26)=12),DecSun1+26, "")</f>
        <v>44554</v>
      </c>
      <c r="H9" s="66">
        <f>IF(AND(YEAR(DecSun1+27)=CalendarYear,MONTH(DecSun1+27)=12),DecSun1+27, "")</f>
        <v>44555</v>
      </c>
    </row>
    <row r="10" spans="1:8" ht="111" customHeight="1" x14ac:dyDescent="0.55000000000000004">
      <c r="A10" s="104"/>
      <c r="B10" s="68"/>
      <c r="C10" s="76" t="s">
        <v>106</v>
      </c>
      <c r="D10" s="77"/>
      <c r="E10" s="148"/>
      <c r="F10" s="77"/>
      <c r="G10" s="149" t="s">
        <v>104</v>
      </c>
      <c r="H10" s="68"/>
    </row>
    <row r="11" spans="1:8" s="15" customFormat="1" ht="14.1" customHeight="1" x14ac:dyDescent="0.35">
      <c r="A11" s="103"/>
      <c r="B11" s="66">
        <f>IF(AND(YEAR(DecSun1+28)=CalendarYear,MONTH(DecSun1+28)=12),DecSun1+28, "")</f>
        <v>44556</v>
      </c>
      <c r="C11" s="58">
        <f>IF(AND(YEAR(DecSun1+29)=CalendarYear,MONTH(DecSun1+29)=12),DecSun1+29, "")</f>
        <v>44557</v>
      </c>
      <c r="D11" s="21">
        <f>IF(AND(YEAR(DecSun1+30)=CalendarYear,MONTH(DecSun1+30)=12),DecSun1+30, "")</f>
        <v>44558</v>
      </c>
      <c r="E11" s="21">
        <f>IF(AND(YEAR(DecSun1+31)=CalendarYear,MONTH(DecSun1+31)=12),DecSun1+31, "")</f>
        <v>44559</v>
      </c>
      <c r="F11" s="21">
        <f>IF(AND(YEAR(DecSun1+32)=CalendarYear,MONTH(DecSun1+32)=12),DecSun1+32, "")</f>
        <v>44560</v>
      </c>
      <c r="G11" s="59">
        <f>IF(AND(YEAR(DecSun1+33)=CalendarYear,MONTH(DecSun1+33)=12),DecSun1+33, "")</f>
        <v>44561</v>
      </c>
      <c r="H11" s="66" t="str">
        <f>IF(AND(YEAR(DecSun1+34)=CalendarYear,MONTH(DecSun1+34)=12),DecSun1+34, "")</f>
        <v/>
      </c>
    </row>
    <row r="12" spans="1:8" ht="111" customHeight="1" x14ac:dyDescent="0.3">
      <c r="A12" s="102"/>
      <c r="B12" s="97"/>
      <c r="C12" s="76"/>
      <c r="D12" s="94"/>
      <c r="E12" s="77"/>
      <c r="F12" s="84"/>
      <c r="G12" s="95"/>
      <c r="H12" s="146"/>
    </row>
    <row r="13" spans="1:8" ht="14.1" hidden="1" customHeight="1" x14ac:dyDescent="0.3">
      <c r="A13" s="25"/>
      <c r="B13" s="40" t="str">
        <f>IF(AND(YEAR(DecSun1+35)=CalendarYear,MONTH(DecSun1+35)=12),DecSun1+35, "")</f>
        <v/>
      </c>
      <c r="C13" s="41" t="str">
        <f>IF(AND(YEAR(DecSun1+36)=CalendarYear,MONTH(DecSun1+36)=12),DecSun1+36, "")</f>
        <v/>
      </c>
      <c r="D13" s="180" t="s">
        <v>12</v>
      </c>
      <c r="E13" s="180"/>
      <c r="F13" s="180"/>
      <c r="G13" s="180"/>
      <c r="H13" s="189"/>
    </row>
    <row r="14" spans="1:8" ht="57.95" hidden="1" customHeight="1" thickBot="1" x14ac:dyDescent="0.35">
      <c r="A14" s="25"/>
      <c r="B14" s="9"/>
      <c r="C14" s="10"/>
      <c r="D14" s="177"/>
      <c r="E14" s="178"/>
      <c r="F14" s="178"/>
      <c r="G14" s="178"/>
      <c r="H14" s="190"/>
    </row>
  </sheetData>
  <mergeCells count="3">
    <mergeCell ref="B1:H1"/>
    <mergeCell ref="D13:H13"/>
    <mergeCell ref="D14:H1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autoPageBreaks="0" fitToPage="1"/>
  </sheetPr>
  <dimension ref="A1:B15"/>
  <sheetViews>
    <sheetView showGridLines="0" workbookViewId="0">
      <selection activeCell="C16" sqref="C16"/>
    </sheetView>
  </sheetViews>
  <sheetFormatPr defaultColWidth="8.625" defaultRowHeight="14.25" x14ac:dyDescent="0.2"/>
  <cols>
    <col min="1" max="1" width="10.375" style="1" customWidth="1"/>
    <col min="2" max="3" width="9.625" style="1" customWidth="1"/>
    <col min="4" max="16384" width="8.625" style="1"/>
  </cols>
  <sheetData>
    <row r="1" spans="1:2" x14ac:dyDescent="0.2">
      <c r="A1" s="1" t="s">
        <v>45</v>
      </c>
      <c r="B1" s="2"/>
    </row>
    <row r="2" spans="1:2" x14ac:dyDescent="0.2">
      <c r="A2" s="2">
        <v>2010</v>
      </c>
      <c r="B2" s="2"/>
    </row>
    <row r="3" spans="1:2" x14ac:dyDescent="0.2">
      <c r="A3" s="2">
        <v>2011</v>
      </c>
      <c r="B3" s="2"/>
    </row>
    <row r="4" spans="1:2" x14ac:dyDescent="0.2">
      <c r="A4" s="2">
        <v>2012</v>
      </c>
      <c r="B4" s="2"/>
    </row>
    <row r="5" spans="1:2" x14ac:dyDescent="0.2">
      <c r="A5" s="2">
        <v>2013</v>
      </c>
      <c r="B5" s="2"/>
    </row>
    <row r="6" spans="1:2" x14ac:dyDescent="0.2">
      <c r="A6" s="2">
        <v>2014</v>
      </c>
      <c r="B6" s="2"/>
    </row>
    <row r="7" spans="1:2" x14ac:dyDescent="0.2">
      <c r="A7" s="2">
        <v>2015</v>
      </c>
      <c r="B7" s="2"/>
    </row>
    <row r="8" spans="1:2" x14ac:dyDescent="0.2">
      <c r="A8" s="3">
        <v>2016</v>
      </c>
      <c r="B8" s="2"/>
    </row>
    <row r="9" spans="1:2" x14ac:dyDescent="0.2">
      <c r="A9" s="3">
        <v>2017</v>
      </c>
      <c r="B9" s="2"/>
    </row>
    <row r="10" spans="1:2" x14ac:dyDescent="0.2">
      <c r="A10" s="18">
        <v>2018</v>
      </c>
      <c r="B10" s="2"/>
    </row>
    <row r="11" spans="1:2" ht="15" x14ac:dyDescent="0.2">
      <c r="A11" s="22">
        <v>2019</v>
      </c>
      <c r="B11" s="4"/>
    </row>
    <row r="12" spans="1:2" ht="15" x14ac:dyDescent="0.2">
      <c r="A12" s="22">
        <v>2020</v>
      </c>
      <c r="B12" s="4"/>
    </row>
    <row r="13" spans="1:2" ht="15" x14ac:dyDescent="0.25">
      <c r="A13" s="22">
        <v>2021</v>
      </c>
      <c r="B13" s="5"/>
    </row>
    <row r="14" spans="1:2" x14ac:dyDescent="0.2">
      <c r="A14" s="22">
        <v>2022</v>
      </c>
    </row>
    <row r="15" spans="1:2" x14ac:dyDescent="0.2">
      <c r="A15" s="22">
        <v>2023</v>
      </c>
    </row>
  </sheetData>
  <phoneticPr fontId="1" type="noConversion"/>
  <pageMargins left="0.7" right="0.7" top="0.75" bottom="0.75" header="0.3" footer="0.3"/>
  <pageSetup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autoPageBreaks="0" fitToPage="1"/>
  </sheetPr>
  <dimension ref="A1:J17"/>
  <sheetViews>
    <sheetView showGridLines="0" topLeftCell="B1" zoomScale="75" zoomScaleNormal="75" workbookViewId="0">
      <selection activeCell="B10" sqref="B10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6384" width="8.625" style="7"/>
  </cols>
  <sheetData>
    <row r="1" spans="1:10" s="6" customFormat="1" ht="39.950000000000003" customHeight="1" thickBot="1" x14ac:dyDescent="0.35">
      <c r="B1" s="182">
        <f>DATE(CalendarYear,2,1)</f>
        <v>44228</v>
      </c>
      <c r="C1" s="182"/>
      <c r="D1" s="182"/>
      <c r="E1" s="182"/>
      <c r="F1" s="182"/>
      <c r="G1" s="182"/>
      <c r="H1" s="182"/>
    </row>
    <row r="2" spans="1:10" s="15" customFormat="1" ht="21.75" customHeight="1" x14ac:dyDescent="0.35">
      <c r="A2" s="170"/>
      <c r="B2" s="171" t="s">
        <v>1</v>
      </c>
      <c r="C2" s="172" t="s">
        <v>2</v>
      </c>
      <c r="D2" s="172" t="s">
        <v>3</v>
      </c>
      <c r="E2" s="172" t="s">
        <v>4</v>
      </c>
      <c r="F2" s="172" t="s">
        <v>5</v>
      </c>
      <c r="G2" s="172" t="s">
        <v>6</v>
      </c>
      <c r="H2" s="173" t="s">
        <v>7</v>
      </c>
    </row>
    <row r="3" spans="1:10" s="15" customFormat="1" ht="14.1" customHeight="1" x14ac:dyDescent="0.35">
      <c r="A3" s="13"/>
      <c r="B3" s="150" t="str">
        <f>IF(AND(YEAR(FebSun1)=CalendarYear,MONTH(FebSun1)=2),FebSun1, "")</f>
        <v/>
      </c>
      <c r="C3" s="47">
        <f>IF(AND(YEAR(FebSun1+1)=CalendarYear,MONTH(FebSun1+1)=2),FebSun1+1, "")</f>
        <v>44228</v>
      </c>
      <c r="D3" s="42">
        <f>IF(AND(YEAR(FebSun1+2)=CalendarYear,MONTH(FebSun1+2)=2),FebSun1+2, "")</f>
        <v>44229</v>
      </c>
      <c r="E3" s="42">
        <f>IF(AND(YEAR(FebSun1+3)=CalendarYear,MONTH(FebSun1+3)=2),FebSun1+3, "")</f>
        <v>44230</v>
      </c>
      <c r="F3" s="42">
        <f>IF(AND(YEAR(FebSun1+4)=CalendarYear,MONTH(FebSun1+4)=2),FebSun1+4, "")</f>
        <v>44231</v>
      </c>
      <c r="G3" s="48">
        <f>IF(AND(YEAR(FebSun1+5)=CalendarYear,MONTH(FebSun1+5)=2),FebSun1+5, "")</f>
        <v>44232</v>
      </c>
      <c r="H3" s="66">
        <f>IF(AND(YEAR(FebSun1+6)=CalendarYear,MONTH(FebSun1+6)=2),FebSun1+6, "")</f>
        <v>44233</v>
      </c>
    </row>
    <row r="4" spans="1:10" ht="111" customHeight="1" x14ac:dyDescent="0.3">
      <c r="B4" s="68"/>
      <c r="C4" s="76"/>
      <c r="D4" s="162"/>
      <c r="E4" s="94"/>
      <c r="F4" s="144"/>
      <c r="G4" s="163"/>
      <c r="H4" s="157"/>
    </row>
    <row r="5" spans="1:10" s="15" customFormat="1" ht="14.1" customHeight="1" x14ac:dyDescent="0.35">
      <c r="A5" s="13"/>
      <c r="B5" s="66">
        <f>IF(AND(YEAR(FebSun1+7)=CalendarYear,MONTH(FebSun1+7)=2),FebSun1+7, "")</f>
        <v>44234</v>
      </c>
      <c r="C5" s="47">
        <f>IF(AND(YEAR(FebSun1+8)=CalendarYear,MONTH(FebSun1+8)=2),FebSun1+8, "")</f>
        <v>44235</v>
      </c>
      <c r="D5" s="42">
        <f>IF(AND(YEAR(FebSun1+9)=CalendarYear,MONTH(FebSun1+9)=2),FebSun1+9, "")</f>
        <v>44236</v>
      </c>
      <c r="E5" s="42">
        <f>IF(AND(YEAR(FebSun1+10)=CalendarYear,MONTH(FebSun1+10)=2),FebSun1+10, "")</f>
        <v>44237</v>
      </c>
      <c r="F5" s="42">
        <f>IF(AND(YEAR(FebSun1+11)=CalendarYear,MONTH(FebSun1+11)=2),FebSun1+11, "")</f>
        <v>44238</v>
      </c>
      <c r="G5" s="48">
        <f>IF(AND(YEAR(FebSun1+12)=CalendarYear,MONTH(FebSun1+12)=2),FebSun1+12,"")</f>
        <v>44239</v>
      </c>
      <c r="H5" s="66">
        <f>IF(AND(YEAR(FebSun1+13)=CalendarYear,MONTH(FebSun1+13)=2),FebSun1+13, "")</f>
        <v>44240</v>
      </c>
    </row>
    <row r="6" spans="1:10" ht="111" customHeight="1" x14ac:dyDescent="0.3">
      <c r="B6" s="164" t="s">
        <v>13</v>
      </c>
      <c r="C6" s="76"/>
      <c r="D6" s="162"/>
      <c r="E6" s="94"/>
      <c r="F6" s="144"/>
      <c r="G6" s="159"/>
      <c r="H6" s="165"/>
      <c r="J6"/>
    </row>
    <row r="7" spans="1:10" s="15" customFormat="1" ht="14.1" customHeight="1" x14ac:dyDescent="0.35">
      <c r="A7" s="13"/>
      <c r="B7" s="66">
        <f>IF(AND(YEAR(FebSun1+14)=CalendarYear,MONTH(FebSun1+14)=2),FebSun1+14, "")</f>
        <v>44241</v>
      </c>
      <c r="C7" s="47">
        <f>IF(AND(YEAR(FebSun1+15)=CalendarYear,MONTH(FebSun1+15)=2),FebSun1+15, "")</f>
        <v>44242</v>
      </c>
      <c r="D7" s="42">
        <f>IF(AND(YEAR(FebSun1+16)=CalendarYear,MONTH(FebSun1+16)=2),FebSun1+16, "")</f>
        <v>44243</v>
      </c>
      <c r="E7" s="42">
        <f>IF(AND(YEAR(FebSun1+17)=CalendarYear,MONTH(FebSun1+17)=2),FebSun1+17, "")</f>
        <v>44244</v>
      </c>
      <c r="F7" s="42">
        <f>IF(AND(YEAR(FebSun1+18)=CalendarYear,MONTH(FebSun1+18)=2),FebSun1+18, "")</f>
        <v>44245</v>
      </c>
      <c r="G7" s="48">
        <f>IF(AND(YEAR(FebSun1+19)=CalendarYear,MONTH(FebSun1+19)=2),FebSun1+19, "")</f>
        <v>44246</v>
      </c>
      <c r="H7" s="66">
        <f>IF(AND(YEAR(FebSun1+20)=CalendarYear,MONTH(FebSun1+20)=2),FebSun1+20, "")</f>
        <v>44247</v>
      </c>
    </row>
    <row r="8" spans="1:10" ht="111" customHeight="1" x14ac:dyDescent="0.3">
      <c r="B8" s="96" t="s">
        <v>112</v>
      </c>
      <c r="C8" s="76" t="s">
        <v>110</v>
      </c>
      <c r="D8" s="166"/>
      <c r="E8" s="167"/>
      <c r="F8" s="94" t="s">
        <v>111</v>
      </c>
      <c r="G8" s="168"/>
      <c r="H8" s="68"/>
    </row>
    <row r="9" spans="1:10" s="15" customFormat="1" ht="14.1" customHeight="1" x14ac:dyDescent="0.35">
      <c r="A9" s="13"/>
      <c r="B9" s="66">
        <f>IF(AND(YEAR(FebSun1+21)=CalendarYear,MONTH(FebSun1+21)=2),FebSun1+21, "")</f>
        <v>44248</v>
      </c>
      <c r="C9" s="47">
        <f>IF(AND(YEAR(FebSun1+22)=CalendarYear,MONTH(FebSun1+22)=2),FebSun1+22, "")</f>
        <v>44249</v>
      </c>
      <c r="D9" s="42">
        <f>IF(AND(YEAR(FebSun1+23)=CalendarYear,MONTH(FebSun1+23)=2),FebSun1+23, "")</f>
        <v>44250</v>
      </c>
      <c r="E9" s="42">
        <f>IF(AND(YEAR(FebSun1+24)=CalendarYear,MONTH(FebSun1+24)=2),FebSun1+24, "")</f>
        <v>44251</v>
      </c>
      <c r="F9" s="42">
        <f>IF(AND(YEAR(FebSun1+25)=CalendarYear,MONTH(FebSun1+25)=2),FebSun1+25, "")</f>
        <v>44252</v>
      </c>
      <c r="G9" s="48">
        <f>IF(AND(YEAR(FebSun1+26)=CalendarYear,MONTH(FebSun1+26)=2),FebSun1+26, "")</f>
        <v>44253</v>
      </c>
      <c r="H9" s="66">
        <f>IF(AND(YEAR(FebSun1+27)=CalendarYear,MONTH(FebSun1+27)=2),FebSun1+27, "")</f>
        <v>44254</v>
      </c>
    </row>
    <row r="10" spans="1:10" ht="111" customHeight="1" thickBot="1" x14ac:dyDescent="0.35">
      <c r="B10" s="68"/>
      <c r="C10" s="76" t="s">
        <v>109</v>
      </c>
      <c r="D10" s="94"/>
      <c r="E10" s="94"/>
      <c r="F10" s="94" t="s">
        <v>73</v>
      </c>
      <c r="G10" s="159"/>
      <c r="H10" s="68"/>
    </row>
    <row r="11" spans="1:10" s="15" customFormat="1" ht="14.1" hidden="1" customHeight="1" x14ac:dyDescent="0.35">
      <c r="A11" s="13"/>
      <c r="B11" s="131">
        <f>IF(AND(YEAR(FebSun1+28)=CalendarYear,MONTH(FebSun1+28)=2),FebSun1+28, "")</f>
        <v>44255</v>
      </c>
      <c r="C11" s="42" t="str">
        <f>IF(AND(YEAR(FebSun1+29)=CalendarYear,MONTH(FebSun1+29)=2),FebSun1+29, "")</f>
        <v/>
      </c>
      <c r="D11" s="42" t="str">
        <f>IF(AND(YEAR(FebSun1+30)=CalendarYear,MONTH(FebSun1+30)=2),FebSun1+30, "")</f>
        <v/>
      </c>
      <c r="E11" s="42" t="str">
        <f>IF(AND(YEAR(FebSun1+31)=CalendarYear,MONTH(FebSun1+31)=2),FebSun1+31, "")</f>
        <v/>
      </c>
      <c r="F11" s="42" t="str">
        <f>IF(AND(YEAR(FebSun1+32)=CalendarYear,MONTH(FebSun1+32)=2),FebSun1+32, "")</f>
        <v/>
      </c>
      <c r="G11" s="42" t="str">
        <f>IF(AND(YEAR(FebSun1+33)=CalendarYear,MONTH(FebSun1+33)=2),FebSun1+33, "")</f>
        <v/>
      </c>
      <c r="H11" s="43" t="str">
        <f>IF(AND(YEAR(FebSun1+34)=CalendarYear,MONTH(FebSun1+34)=2),FebSun1+34, "")</f>
        <v/>
      </c>
    </row>
    <row r="12" spans="1:10" ht="111" hidden="1" customHeight="1" x14ac:dyDescent="0.3">
      <c r="B12" s="89"/>
      <c r="C12" s="8"/>
      <c r="D12" s="8"/>
      <c r="E12" s="8"/>
      <c r="F12" s="8"/>
      <c r="G12" s="8"/>
      <c r="H12" s="88"/>
    </row>
    <row r="13" spans="1:10" ht="14.1" hidden="1" customHeight="1" x14ac:dyDescent="0.3">
      <c r="B13" s="186" t="s">
        <v>12</v>
      </c>
      <c r="C13" s="187"/>
      <c r="D13" s="187"/>
      <c r="E13" s="187"/>
      <c r="F13" s="187"/>
      <c r="G13" s="187"/>
      <c r="H13" s="188"/>
    </row>
    <row r="14" spans="1:10" ht="57.95" hidden="1" customHeight="1" thickBot="1" x14ac:dyDescent="0.35">
      <c r="B14" s="183"/>
      <c r="C14" s="184"/>
      <c r="D14" s="184"/>
      <c r="E14" s="184"/>
      <c r="F14" s="184"/>
      <c r="G14" s="184"/>
      <c r="H14" s="185"/>
    </row>
    <row r="15" spans="1:10" s="15" customFormat="1" ht="14.1" customHeight="1" x14ac:dyDescent="0.35">
      <c r="A15" s="13"/>
      <c r="B15" s="169">
        <f>IF(AND(YEAR(FebSun1+28)=CalendarYear,MONTH(FebSun1+28)=2),FebSun1+28, "")</f>
        <v>44255</v>
      </c>
      <c r="C15" s="17" t="str">
        <f>IF(AND(YEAR(FebSun1+29)=CalendarYear,MONTH(FebSun1+29)=2),FebSun1+29, "")</f>
        <v/>
      </c>
      <c r="D15" s="14" t="str">
        <f>IF(AND(YEAR(FebSun1+30)=CalendarYear,MONTH(FebSun1+30)=2),FebSun1+30, "")</f>
        <v/>
      </c>
      <c r="E15" s="14" t="str">
        <f>IF(AND(YEAR(FebSun1+31)=CalendarYear,MONTH(FebSun1+31)=2),FebSun1+31, "")</f>
        <v/>
      </c>
      <c r="F15" s="14" t="str">
        <f>IF(AND(YEAR(FebSun1+32)=CalendarYear,MONTH(FebSun1+32)=2),FebSun1+32, "")</f>
        <v/>
      </c>
      <c r="G15" s="65" t="str">
        <f>IF(AND(YEAR(FebSun1+33)=CalendarYear,MONTH(FebSun1+33)=2),FebSun1+33, "")</f>
        <v/>
      </c>
      <c r="H15" s="75" t="str">
        <f>IF(AND(YEAR(FebSun1+34)=CalendarYear,MONTH(FebSun1+34)=2),FebSun1+34, "")</f>
        <v/>
      </c>
    </row>
    <row r="16" spans="1:10" ht="111" customHeight="1" x14ac:dyDescent="0.3">
      <c r="B16" s="68"/>
      <c r="C16" s="76"/>
      <c r="D16" s="94"/>
      <c r="E16" s="94"/>
      <c r="F16" s="94"/>
      <c r="G16" s="159"/>
      <c r="H16" s="68"/>
    </row>
    <row r="17" spans="3:3" x14ac:dyDescent="0.3">
      <c r="C17"/>
    </row>
  </sheetData>
  <mergeCells count="3">
    <mergeCell ref="B1:H1"/>
    <mergeCell ref="B14:H14"/>
    <mergeCell ref="B13:H13"/>
  </mergeCells>
  <phoneticPr fontId="1" type="noConversion"/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autoPageBreaks="0" fitToPage="1"/>
  </sheetPr>
  <dimension ref="A1:H14"/>
  <sheetViews>
    <sheetView showGridLines="0" topLeftCell="B1" zoomScale="75" zoomScaleNormal="75" workbookViewId="0">
      <selection activeCell="B1" sqref="B1:H1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6384" width="8.625" style="7"/>
  </cols>
  <sheetData>
    <row r="1" spans="1:8" s="6" customFormat="1" ht="39.950000000000003" customHeight="1" x14ac:dyDescent="0.3">
      <c r="B1" s="182">
        <v>44256</v>
      </c>
      <c r="C1" s="182"/>
      <c r="D1" s="182"/>
      <c r="E1" s="182"/>
      <c r="F1" s="182"/>
      <c r="G1" s="182"/>
      <c r="H1" s="182"/>
    </row>
    <row r="2" spans="1:8" s="15" customFormat="1" ht="21.75" customHeight="1" x14ac:dyDescent="0.35">
      <c r="A2" s="44"/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</row>
    <row r="3" spans="1:8" s="15" customFormat="1" ht="14.1" customHeight="1" x14ac:dyDescent="0.35">
      <c r="A3" s="13"/>
      <c r="B3" s="174" t="str">
        <f>IF(AND(YEAR(MarSun1)=CalendarYear,MONTH(MarSun1)=3),MarSun1, "")</f>
        <v/>
      </c>
      <c r="C3" s="47">
        <f>IF(AND(YEAR(MarSun1+1)=CalendarYear,MONTH(MarSun1+1)=3),MarSun1+1, "")</f>
        <v>44256</v>
      </c>
      <c r="D3" s="42">
        <f>IF(AND(YEAR(MarSun1+2)=CalendarYear,MONTH(MarSun1+2)=3),MarSun1+2, "")</f>
        <v>44257</v>
      </c>
      <c r="E3" s="42">
        <f>IF(AND(YEAR(MarSun1+3)=CalendarYear,MONTH(MarSun1+3)=3),MarSun1+3, "")</f>
        <v>44258</v>
      </c>
      <c r="F3" s="42">
        <f>IF(AND(YEAR(MarSun1+4)=CalendarYear,MONTH(MarSun1+4)=3),MarSun1+4, "")</f>
        <v>44259</v>
      </c>
      <c r="G3" s="48">
        <f>IF(AND(YEAR(MarSun1+5)=CalendarYear,MONTH(MarSun1+5)=3),MarSun1+5, "")</f>
        <v>44260</v>
      </c>
      <c r="H3" s="64">
        <f>IF(AND(YEAR(MarSun1+6)=CalendarYear,MONTH(MarSun1+6)=3),MarSun1+6, "")</f>
        <v>44261</v>
      </c>
    </row>
    <row r="4" spans="1:8" ht="111" customHeight="1" x14ac:dyDescent="0.3">
      <c r="B4" s="49"/>
      <c r="C4" s="50" t="s">
        <v>9</v>
      </c>
      <c r="D4" s="51"/>
      <c r="E4" s="52" t="s">
        <v>52</v>
      </c>
      <c r="F4" s="53"/>
      <c r="G4" s="54"/>
      <c r="H4" s="55"/>
    </row>
    <row r="5" spans="1:8" s="15" customFormat="1" ht="14.1" customHeight="1" x14ac:dyDescent="0.35">
      <c r="A5" s="13"/>
      <c r="B5" s="46">
        <f>IF(AND(YEAR(MarSun1+7)=CalendarYear,MONTH(MarSun1+7)=3),MarSun1+7, "")</f>
        <v>44262</v>
      </c>
      <c r="C5" s="47">
        <f>IF(AND(YEAR(MarSun1+8)=CalendarYear,MONTH(MarSun1+8)=3),MarSun1+8, "")</f>
        <v>44263</v>
      </c>
      <c r="D5" s="42">
        <f>IF(AND(YEAR(MarSun1+9)=CalendarYear,MONTH(MarSun1+9)=3),MarSun1+9, "")</f>
        <v>44264</v>
      </c>
      <c r="E5" s="42">
        <f>IF(AND(YEAR(MarSun1+10)=CalendarYear,MONTH(MarSun1+10)=3),MarSun1+10, "")</f>
        <v>44265</v>
      </c>
      <c r="F5" s="42">
        <f>IF(AND(YEAR(MarSun1+11)=CalendarYear,MONTH(MarSun1+11)=3),MarSun1+11, "")</f>
        <v>44266</v>
      </c>
      <c r="G5" s="48">
        <f>IF(AND(YEAR(MarSun1+12)=CalendarYear,MONTH(MarSun1+12)=3),MarSun1+12,"")</f>
        <v>44267</v>
      </c>
      <c r="H5" s="46">
        <f>IF(AND(YEAR(MarSun1+13)=CalendarYear,MONTH(MarSun1+13)=3),MarSun1+13, "")</f>
        <v>44268</v>
      </c>
    </row>
    <row r="6" spans="1:8" ht="111" customHeight="1" x14ac:dyDescent="0.3">
      <c r="B6" s="49"/>
      <c r="C6" s="50" t="s">
        <v>9</v>
      </c>
      <c r="D6" s="56"/>
      <c r="E6" s="52" t="s">
        <v>113</v>
      </c>
      <c r="F6" s="53"/>
      <c r="G6" s="54"/>
      <c r="H6" s="57"/>
    </row>
    <row r="7" spans="1:8" s="15" customFormat="1" ht="14.1" customHeight="1" x14ac:dyDescent="0.35">
      <c r="A7" s="13"/>
      <c r="B7" s="46">
        <f>IF(AND(YEAR(MarSun1+14)=CalendarYear,MONTH(MarSun1+14)=3),MarSun1+14, "")</f>
        <v>44269</v>
      </c>
      <c r="C7" s="47">
        <f>IF(AND(YEAR(MarSun1+15)=CalendarYear,MONTH(MarSun1+15)=3),MarSun1+15, "")</f>
        <v>44270</v>
      </c>
      <c r="D7" s="42">
        <f>IF(AND(YEAR(MarSun1+16)=CalendarYear,MONTH(MarSun1+16)=3),MarSun1+16, "")</f>
        <v>44271</v>
      </c>
      <c r="E7" s="42">
        <f>IF(AND(YEAR(MarSun1+17)=CalendarYear,MONTH(MarSun1+17)=3),MarSun1+17, "")</f>
        <v>44272</v>
      </c>
      <c r="F7" s="42">
        <f>IF(AND(YEAR(MarSun1+18)=CalendarYear,MONTH(MarSun1+18)=3),MarSun1+18, "")</f>
        <v>44273</v>
      </c>
      <c r="G7" s="48">
        <f>IF(AND(YEAR(MarSun1+19)=CalendarYear,MONTH(MarSun1+19)=3),MarSun1+19, "")</f>
        <v>44274</v>
      </c>
      <c r="H7" s="46">
        <f>IF(AND(YEAR(MarSun1+20)=CalendarYear,MONTH(MarSun1+20)=3),MarSun1+20, "")</f>
        <v>44275</v>
      </c>
    </row>
    <row r="8" spans="1:8" ht="111" customHeight="1" x14ac:dyDescent="0.3">
      <c r="B8" s="49"/>
      <c r="C8" s="50" t="s">
        <v>117</v>
      </c>
      <c r="D8" s="52" t="s">
        <v>115</v>
      </c>
      <c r="E8" s="175" t="s">
        <v>121</v>
      </c>
      <c r="F8" s="52" t="s">
        <v>120</v>
      </c>
      <c r="G8" s="54"/>
      <c r="H8" s="49"/>
    </row>
    <row r="9" spans="1:8" s="15" customFormat="1" ht="14.1" customHeight="1" x14ac:dyDescent="0.35">
      <c r="A9" s="13"/>
      <c r="B9" s="46">
        <f>IF(AND(YEAR(MarSun1+21)=CalendarYear,MONTH(MarSun1+21)=3),MarSun1+21, "")</f>
        <v>44276</v>
      </c>
      <c r="C9" s="58">
        <f>IF(AND(YEAR(MarSun1+22)=CalendarYear,MONTH(MarSun1+22)=3),MarSun1+22, "")</f>
        <v>44277</v>
      </c>
      <c r="D9" s="21">
        <f>IF(AND(YEAR(MarSun1+23)=CalendarYear,MONTH(MarSun1+23)=3),MarSun1+23, "")</f>
        <v>44278</v>
      </c>
      <c r="E9" s="21">
        <f>IF(AND(YEAR(MarSun1+24)=CalendarYear,MONTH(MarSun1+24)=3),MarSun1+24, "")</f>
        <v>44279</v>
      </c>
      <c r="F9" s="21">
        <f>IF(AND(YEAR(MarSun1+25)=CalendarYear,MONTH(MarSun1+25)=3),MarSun1+25, "")</f>
        <v>44280</v>
      </c>
      <c r="G9" s="59">
        <f>IF(AND(YEAR(MarSun1+26)=CalendarYear,MONTH(MarSun1+26)=3),MarSun1+26, "")</f>
        <v>44281</v>
      </c>
      <c r="H9" s="46">
        <f>IF(AND(YEAR(MarSun1+27)=CalendarYear,MONTH(MarSun1+27)=3),MarSun1+27, "")</f>
        <v>44282</v>
      </c>
    </row>
    <row r="10" spans="1:8" ht="111" customHeight="1" x14ac:dyDescent="0.3">
      <c r="B10" s="49"/>
      <c r="C10" s="50" t="s">
        <v>119</v>
      </c>
      <c r="D10" s="52"/>
      <c r="E10" s="52" t="s">
        <v>116</v>
      </c>
      <c r="F10" s="52" t="s">
        <v>73</v>
      </c>
      <c r="G10" s="54"/>
      <c r="H10" s="57"/>
    </row>
    <row r="11" spans="1:8" s="15" customFormat="1" ht="14.1" customHeight="1" x14ac:dyDescent="0.35">
      <c r="A11" s="13"/>
      <c r="B11" s="46">
        <f>IF(AND(YEAR(MarSun1+28)=CalendarYear,MONTH(MarSun1+28)=3),MarSun1+28, "")</f>
        <v>44283</v>
      </c>
      <c r="C11" s="58">
        <f>IF(AND(YEAR(MarSun1+29)=CalendarYear,MONTH(MarSun1+29)=3),MarSun1+29, "")</f>
        <v>44284</v>
      </c>
      <c r="D11" s="21">
        <f>IF(AND(YEAR(MarSun1+30)=CalendarYear,MONTH(MarSun1+30)=3),MarSun1+30, "")</f>
        <v>44285</v>
      </c>
      <c r="E11" s="21">
        <f>IF(AND(YEAR(MarSun1+31)=CalendarYear,MONTH(MarSun1+31)=3),MarSun1+31, "")</f>
        <v>44286</v>
      </c>
      <c r="F11" s="21" t="str">
        <f>IF(AND(YEAR(MarSun1+32)=CalendarYear,MONTH(MarSun1+32)=3),MarSun1+32, "")</f>
        <v/>
      </c>
      <c r="G11" s="59" t="str">
        <f>IF(AND(YEAR(MarSun1+33)=CalendarYear,MONTH(MarSun1+33)=3),MarSun1+33, "")</f>
        <v/>
      </c>
      <c r="H11" s="46" t="str">
        <f>IF(AND(YEAR(MarSun1+34)=CalendarYear,MONTH(MarSun1+34)=3),MarSun1+34, "")</f>
        <v/>
      </c>
    </row>
    <row r="12" spans="1:8" ht="111" customHeight="1" x14ac:dyDescent="0.3">
      <c r="B12" s="60"/>
      <c r="C12" s="50" t="s">
        <v>114</v>
      </c>
      <c r="D12" s="52"/>
      <c r="E12" s="63" t="s">
        <v>118</v>
      </c>
      <c r="F12" s="61"/>
      <c r="G12" s="62"/>
      <c r="H12" s="49"/>
    </row>
    <row r="13" spans="1:8" ht="14.1" hidden="1" customHeight="1" x14ac:dyDescent="0.3">
      <c r="B13" s="40" t="str">
        <f>IF(AND(YEAR(MarSun1+35)=CalendarYear,MONTH(MarSun1+35)=3),MarSun1+35, "")</f>
        <v/>
      </c>
      <c r="C13" s="41" t="str">
        <f>IF(AND(YEAR(MarSun1+36)=CalendarYear,MONTH(MarSun1+36)=3),MarSun1+36, "")</f>
        <v/>
      </c>
      <c r="D13" s="180" t="s">
        <v>12</v>
      </c>
      <c r="E13" s="180"/>
      <c r="F13" s="180"/>
      <c r="G13" s="180"/>
      <c r="H13" s="181"/>
    </row>
    <row r="14" spans="1:8" ht="57.95" hidden="1" customHeight="1" thickBot="1" x14ac:dyDescent="0.35">
      <c r="B14" s="11"/>
      <c r="C14" s="12"/>
      <c r="D14" s="177"/>
      <c r="E14" s="178"/>
      <c r="F14" s="178"/>
      <c r="G14" s="178"/>
      <c r="H14" s="179"/>
    </row>
  </sheetData>
  <mergeCells count="3">
    <mergeCell ref="B1:H1"/>
    <mergeCell ref="D14:H14"/>
    <mergeCell ref="D13:H13"/>
  </mergeCells>
  <phoneticPr fontId="1" type="noConversion"/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autoPageBreaks="0" fitToPage="1"/>
  </sheetPr>
  <dimension ref="A1:H14"/>
  <sheetViews>
    <sheetView showGridLines="0" tabSelected="1" topLeftCell="B1" zoomScale="75" zoomScaleNormal="75" workbookViewId="0">
      <selection activeCell="F12" sqref="F12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6384" width="8.625" style="7"/>
  </cols>
  <sheetData>
    <row r="1" spans="1:8" s="6" customFormat="1" ht="39.950000000000003" customHeight="1" thickBot="1" x14ac:dyDescent="0.35">
      <c r="B1" s="182">
        <f>DATE(CalendarYear,4,1)</f>
        <v>44287</v>
      </c>
      <c r="C1" s="182"/>
      <c r="D1" s="182"/>
      <c r="E1" s="182"/>
      <c r="F1" s="182"/>
      <c r="G1" s="182"/>
      <c r="H1" s="182"/>
    </row>
    <row r="2" spans="1:8" s="15" customFormat="1" ht="21.75" customHeight="1" thickBot="1" x14ac:dyDescent="0.4">
      <c r="A2" s="13"/>
      <c r="B2" s="72" t="s">
        <v>1</v>
      </c>
      <c r="C2" s="69" t="s">
        <v>2</v>
      </c>
      <c r="D2" s="70" t="s">
        <v>3</v>
      </c>
      <c r="E2" s="70" t="s">
        <v>4</v>
      </c>
      <c r="F2" s="70" t="s">
        <v>5</v>
      </c>
      <c r="G2" s="71" t="s">
        <v>6</v>
      </c>
      <c r="H2" s="74" t="s">
        <v>7</v>
      </c>
    </row>
    <row r="3" spans="1:8" s="15" customFormat="1" ht="14.1" customHeight="1" x14ac:dyDescent="0.35">
      <c r="A3" s="13"/>
      <c r="B3" s="73" t="str">
        <f>IF(AND(YEAR(AprSun1)=CalendarYear,MONTH(AprSun1)=4),AprSun1, "")</f>
        <v/>
      </c>
      <c r="C3" s="47" t="str">
        <f>IF(AND(YEAR(AprSun1+1)=CalendarYear,MONTH(AprSun1+1)=4),AprSun1+1, "")</f>
        <v/>
      </c>
      <c r="D3" s="42" t="str">
        <f>IF(AND(YEAR(AprSun1+2)=CalendarYear,MONTH(AprSun1+2)=4),AprSun1+2, "")</f>
        <v/>
      </c>
      <c r="E3" s="42" t="str">
        <f>IF(AND(YEAR(AprSun1+3)=CalendarYear,MONTH(AprSun1+3)=4),AprSun1+3, "")</f>
        <v/>
      </c>
      <c r="F3" s="42">
        <f>IF(AND(YEAR(AprSun1+4)=CalendarYear,MONTH(AprSun1+4)=4),AprSun1+4, "")</f>
        <v>44287</v>
      </c>
      <c r="G3" s="48">
        <f>IF(AND(YEAR(AprSun1+5)=CalendarYear,MONTH(AprSun1+5)=4),AprSun1+5, "")</f>
        <v>44288</v>
      </c>
      <c r="H3" s="75">
        <f>IF(AND(YEAR(AprSun1+6)=CalendarYear,MONTH(AprSun1+6)=4),AprSun1+6, "")</f>
        <v>44289</v>
      </c>
    </row>
    <row r="4" spans="1:8" ht="111" customHeight="1" x14ac:dyDescent="0.3">
      <c r="B4" s="85"/>
      <c r="C4" s="204"/>
      <c r="D4" s="86"/>
      <c r="E4" s="77"/>
      <c r="F4" s="84"/>
      <c r="G4" s="87"/>
      <c r="H4" s="68"/>
    </row>
    <row r="5" spans="1:8" s="15" customFormat="1" ht="14.1" customHeight="1" x14ac:dyDescent="0.35">
      <c r="A5" s="13"/>
      <c r="B5" s="66">
        <f>IF(AND(YEAR(AprSun1+7)=CalendarYear,MONTH(AprSun1+7)=4),AprSun1+7, "")</f>
        <v>44290</v>
      </c>
      <c r="C5" s="47">
        <f>IF(AND(YEAR(AprSun1+8)=CalendarYear,MONTH(AprSun1+8)=4),AprSun1+8, "")</f>
        <v>44291</v>
      </c>
      <c r="D5" s="42">
        <f>IF(AND(YEAR(AprSun1+9)=CalendarYear,MONTH(AprSun1+9)=4),AprSun1+9, "")</f>
        <v>44292</v>
      </c>
      <c r="E5" s="42">
        <f>IF(AND(YEAR(AprSun1+10)=CalendarYear,MONTH(AprSun1+10)=4),AprSun1+10, "")</f>
        <v>44293</v>
      </c>
      <c r="F5" s="42">
        <f>IF(AND(YEAR(AprSun1+11)=CalendarYear,MONTH(AprSun1+11)=4),AprSun1+11, "")</f>
        <v>44294</v>
      </c>
      <c r="G5" s="48">
        <f>IF(AND(YEAR(AprSun1+12)=CalendarYear,MONTH(AprSun1+12)=4),AprSun1+12,"")</f>
        <v>44295</v>
      </c>
      <c r="H5" s="66">
        <f>IF(AND(YEAR(AprSun1+13)=CalendarYear,MONTH(AprSun1+13)=4),AprSun1+13, "")</f>
        <v>44296</v>
      </c>
    </row>
    <row r="6" spans="1:8" ht="111" customHeight="1" x14ac:dyDescent="0.3">
      <c r="B6" s="85" t="s">
        <v>18</v>
      </c>
      <c r="C6" s="204" t="s">
        <v>123</v>
      </c>
      <c r="D6" s="77"/>
      <c r="E6" s="77" t="s">
        <v>15</v>
      </c>
      <c r="F6" s="84"/>
      <c r="G6" s="80" t="s">
        <v>20</v>
      </c>
      <c r="H6" s="68"/>
    </row>
    <row r="7" spans="1:8" s="15" customFormat="1" ht="14.1" customHeight="1" x14ac:dyDescent="0.35">
      <c r="A7" s="13"/>
      <c r="B7" s="66">
        <f>IF(AND(YEAR(AprSun1+14)=CalendarYear,MONTH(AprSun1+14)=4),AprSun1+14, "")</f>
        <v>44297</v>
      </c>
      <c r="C7" s="47">
        <f>IF(AND(YEAR(AprSun1+15)=CalendarYear,MONTH(AprSun1+15)=4),AprSun1+15, "")</f>
        <v>44298</v>
      </c>
      <c r="D7" s="42">
        <f>IF(AND(YEAR(AprSun1+16)=CalendarYear,MONTH(AprSun1+16)=4),AprSun1+16, "")</f>
        <v>44299</v>
      </c>
      <c r="E7" s="42">
        <f>IF(AND(YEAR(AprSun1+17)=CalendarYear,MONTH(AprSun1+17)=4),AprSun1+17, "")</f>
        <v>44300</v>
      </c>
      <c r="F7" s="42">
        <f>IF(AND(YEAR(AprSun1+18)=CalendarYear,MONTH(AprSun1+18)=4),AprSun1+18, "")</f>
        <v>44301</v>
      </c>
      <c r="G7" s="48">
        <f>IF(AND(YEAR(AprSun1+19)=CalendarYear,MONTH(AprSun1+19)=4),AprSun1+19, "")</f>
        <v>44302</v>
      </c>
      <c r="H7" s="66">
        <f>IF(AND(YEAR(AprSun1+20)=CalendarYear,MONTH(AprSun1+20)=4),AprSun1+20, "")</f>
        <v>44303</v>
      </c>
    </row>
    <row r="8" spans="1:8" ht="111" customHeight="1" x14ac:dyDescent="0.3">
      <c r="B8" s="68"/>
      <c r="C8" s="204" t="s">
        <v>123</v>
      </c>
      <c r="D8" s="205"/>
      <c r="E8" s="77" t="s">
        <v>19</v>
      </c>
      <c r="F8" s="148" t="s">
        <v>126</v>
      </c>
      <c r="G8" s="80"/>
      <c r="H8" s="83"/>
    </row>
    <row r="9" spans="1:8" s="15" customFormat="1" ht="14.1" customHeight="1" x14ac:dyDescent="0.35">
      <c r="A9" s="13"/>
      <c r="B9" s="66">
        <f>IF(AND(YEAR(AprSun1+21)=CalendarYear,MONTH(AprSun1+21)=4),AprSun1+21, "")</f>
        <v>44304</v>
      </c>
      <c r="C9" s="58">
        <f>IF(AND(YEAR(AprSun1+22)=CalendarYear,MONTH(AprSun1+22)=4),AprSun1+22, "")</f>
        <v>44305</v>
      </c>
      <c r="D9" s="21">
        <f>IF(AND(YEAR(AprSun1+23)=CalendarYear,MONTH(AprSun1+23)=4),AprSun1+23, "")</f>
        <v>44306</v>
      </c>
      <c r="E9" s="21">
        <f>IF(AND(YEAR(AprSun1+24)=CalendarYear,MONTH(AprSun1+24)=4),AprSun1+24, "")</f>
        <v>44307</v>
      </c>
      <c r="F9" s="21">
        <f>IF(AND(YEAR(AprSun1+25)=CalendarYear,MONTH(AprSun1+25)=4),AprSun1+25, "")</f>
        <v>44308</v>
      </c>
      <c r="G9" s="59">
        <f>IF(AND(YEAR(AprSun1+26)=CalendarYear,MONTH(AprSun1+26)=4),AprSun1+26, "")</f>
        <v>44309</v>
      </c>
      <c r="H9" s="66">
        <f>IF(AND(YEAR(AprSun1+27)=CalendarYear,MONTH(AprSun1+27)=4),AprSun1+27, "")</f>
        <v>44310</v>
      </c>
    </row>
    <row r="10" spans="1:8" ht="111" customHeight="1" x14ac:dyDescent="0.3">
      <c r="B10" s="79"/>
      <c r="C10" s="82" t="s">
        <v>17</v>
      </c>
      <c r="D10" s="205" t="s">
        <v>124</v>
      </c>
      <c r="E10" s="77" t="s">
        <v>21</v>
      </c>
      <c r="F10" s="77" t="s">
        <v>16</v>
      </c>
      <c r="G10" s="80" t="s">
        <v>22</v>
      </c>
      <c r="H10" s="81"/>
    </row>
    <row r="11" spans="1:8" s="15" customFormat="1" ht="14.1" customHeight="1" x14ac:dyDescent="0.35">
      <c r="A11" s="13"/>
      <c r="B11" s="66">
        <f>IF(AND(YEAR(AprSun1+28)=CalendarYear,MONTH(AprSun1+28)=4),AprSun1+28, "")</f>
        <v>44311</v>
      </c>
      <c r="C11" s="58">
        <f>IF(AND(YEAR(AprSun1+29)=CalendarYear,MONTH(AprSun1+29)=4),AprSun1+29, "")</f>
        <v>44312</v>
      </c>
      <c r="D11" s="21">
        <f>IF(AND(YEAR(AprSun1+30)=CalendarYear,MONTH(AprSun1+30)=4),AprSun1+30, "")</f>
        <v>44313</v>
      </c>
      <c r="E11" s="21">
        <f>IF(AND(YEAR(AprSun1+31)=CalendarYear,MONTH(AprSun1+31)=4),AprSun1+31, "")</f>
        <v>44314</v>
      </c>
      <c r="F11" s="21">
        <f>IF(AND(YEAR(AprSun1+32)=CalendarYear,MONTH(AprSun1+32)=4),AprSun1+32, "")</f>
        <v>44315</v>
      </c>
      <c r="G11" s="59">
        <f>IF(AND(YEAR(AprSun1+33)=CalendarYear,MONTH(AprSun1+33)=4),AprSun1+33, "")</f>
        <v>44316</v>
      </c>
      <c r="H11" s="66" t="str">
        <f>IF(AND(YEAR(AprSun1+34)=CalendarYear,MONTH(AprSun1+34)=4),AprSun1+34, "")</f>
        <v/>
      </c>
    </row>
    <row r="12" spans="1:8" ht="111" customHeight="1" x14ac:dyDescent="0.3">
      <c r="B12" s="68"/>
      <c r="C12" s="76" t="s">
        <v>125</v>
      </c>
      <c r="D12" s="77"/>
      <c r="E12" s="205" t="s">
        <v>122</v>
      </c>
      <c r="F12" s="77"/>
      <c r="G12" s="78"/>
      <c r="H12" s="68"/>
    </row>
    <row r="13" spans="1:8" ht="14.1" hidden="1" customHeight="1" x14ac:dyDescent="0.3">
      <c r="B13" s="33" t="str">
        <f>IF(AND(YEAR(AprSun1+35)=CalendarYear,MONTH(AprSun1+35)=4),AprSun1+35, "")</f>
        <v/>
      </c>
      <c r="C13" s="180" t="s">
        <v>23</v>
      </c>
      <c r="D13" s="180"/>
      <c r="E13" s="180"/>
      <c r="F13" s="180"/>
      <c r="G13" s="180"/>
      <c r="H13" s="189"/>
    </row>
    <row r="14" spans="1:8" ht="57.95" hidden="1" customHeight="1" thickBot="1" x14ac:dyDescent="0.35">
      <c r="B14" s="23"/>
      <c r="C14" s="177"/>
      <c r="D14" s="178"/>
      <c r="E14" s="178"/>
      <c r="F14" s="178"/>
      <c r="G14" s="178"/>
      <c r="H14" s="190"/>
    </row>
  </sheetData>
  <mergeCells count="3">
    <mergeCell ref="B1:H1"/>
    <mergeCell ref="C13:H13"/>
    <mergeCell ref="C14:H14"/>
  </mergeCells>
  <phoneticPr fontId="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autoPageBreaks="0" fitToPage="1"/>
  </sheetPr>
  <dimension ref="A1:H12"/>
  <sheetViews>
    <sheetView showGridLines="0" topLeftCell="B1" zoomScale="75" zoomScaleNormal="75" workbookViewId="0">
      <selection activeCell="B1" sqref="B1:H12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6384" width="8.625" style="7"/>
  </cols>
  <sheetData>
    <row r="1" spans="1:8" s="6" customFormat="1" ht="39.950000000000003" customHeight="1" x14ac:dyDescent="0.3">
      <c r="B1" s="182">
        <f>DATE(CalendarYear,5,1)</f>
        <v>44317</v>
      </c>
      <c r="C1" s="182"/>
      <c r="D1" s="182"/>
      <c r="E1" s="182"/>
      <c r="F1" s="182"/>
      <c r="G1" s="182"/>
      <c r="H1" s="182"/>
    </row>
    <row r="2" spans="1:8" s="15" customFormat="1" ht="21.75" customHeight="1" x14ac:dyDescent="0.35">
      <c r="A2" s="105"/>
      <c r="B2" s="106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09" t="s">
        <v>6</v>
      </c>
      <c r="H2" s="110" t="s">
        <v>7</v>
      </c>
    </row>
    <row r="3" spans="1:8" s="15" customFormat="1" ht="14.1" customHeight="1" x14ac:dyDescent="0.35">
      <c r="A3" s="13"/>
      <c r="B3" s="73" t="str">
        <f>IF(AND(YEAR(MaySun1)=CalendarYear,MONTH(MaySun1)=5),MaySun1, "")</f>
        <v/>
      </c>
      <c r="C3" s="17" t="str">
        <f>IF(AND(YEAR(MaySun1+1)=CalendarYear,MONTH(MaySun1+1)=5),MaySun1+1, "")</f>
        <v/>
      </c>
      <c r="D3" s="14" t="str">
        <f>IF(AND(YEAR(MaySun1+2)=CalendarYear,MONTH(MaySun1+2)=5),MaySun1+2, "")</f>
        <v/>
      </c>
      <c r="E3" s="14" t="str">
        <f>IF(AND(YEAR(MaySun1+3)=CalendarYear,MONTH(MaySun1+3)=5),MaySun1+3, "")</f>
        <v/>
      </c>
      <c r="F3" s="14" t="str">
        <f>IF(AND(YEAR(MaySun1+4)=CalendarYear,MONTH(MaySun1+4)=5),MaySun1+4, "")</f>
        <v/>
      </c>
      <c r="G3" s="65" t="str">
        <f>IF(AND(YEAR(MaySun1+5)=CalendarYear,MONTH(MaySun1+5)=5),MaySun1+5, "")</f>
        <v/>
      </c>
      <c r="H3" s="67">
        <f>IF(AND(YEAR(MaySun1+6)=CalendarYear,MONTH(MaySun1+6)=5),MaySun1+6, "")</f>
        <v>44317</v>
      </c>
    </row>
    <row r="4" spans="1:8" ht="111" customHeight="1" x14ac:dyDescent="0.3">
      <c r="B4" s="68"/>
      <c r="C4" s="76"/>
      <c r="D4" s="86" t="s">
        <v>14</v>
      </c>
      <c r="E4" s="77" t="s">
        <v>15</v>
      </c>
      <c r="F4" s="90"/>
      <c r="G4" s="87"/>
      <c r="H4" s="91" t="s">
        <v>24</v>
      </c>
    </row>
    <row r="5" spans="1:8" s="15" customFormat="1" ht="14.1" customHeight="1" x14ac:dyDescent="0.35">
      <c r="A5" s="13"/>
      <c r="B5" s="66">
        <f>IF(AND(YEAR(MaySun1+7)=CalendarYear,MONTH(MaySun1+7)=5),MaySun1+7, "")</f>
        <v>44318</v>
      </c>
      <c r="C5" s="47">
        <f>IF(AND(YEAR(MaySun1+8)=CalendarYear,MONTH(MaySun1+8)=5),MaySun1+8, "")</f>
        <v>44319</v>
      </c>
      <c r="D5" s="42">
        <f>IF(AND(YEAR(MaySun1+9)=CalendarYear,MONTH(MaySun1+9)=5),MaySun1+9, "")</f>
        <v>44320</v>
      </c>
      <c r="E5" s="42">
        <f>IF(AND(YEAR(MaySun1+10)=CalendarYear,MONTH(MaySun1+10)=5),MaySun1+10, "")</f>
        <v>44321</v>
      </c>
      <c r="F5" s="42">
        <f>IF(AND(YEAR(MaySun1+11)=CalendarYear,MONTH(MaySun1+11)=5),MaySun1+11, "")</f>
        <v>44322</v>
      </c>
      <c r="G5" s="48">
        <f>IF(AND(YEAR(MaySun1+12)=CalendarYear,MONTH(MaySun1+12)=5),MaySun1+12,"")</f>
        <v>44323</v>
      </c>
      <c r="H5" s="66">
        <f>IF(AND(YEAR(MaySun1+13)=CalendarYear,MONTH(MaySun1+13)=5),MaySun1+13, "")</f>
        <v>44324</v>
      </c>
    </row>
    <row r="6" spans="1:8" ht="111" customHeight="1" x14ac:dyDescent="0.3">
      <c r="B6" s="96"/>
      <c r="C6" s="76" t="s">
        <v>9</v>
      </c>
      <c r="D6" s="77" t="s">
        <v>25</v>
      </c>
      <c r="E6" s="77" t="s">
        <v>26</v>
      </c>
      <c r="F6" s="77" t="s">
        <v>27</v>
      </c>
      <c r="G6" s="80" t="s">
        <v>28</v>
      </c>
      <c r="H6" s="68"/>
    </row>
    <row r="7" spans="1:8" s="15" customFormat="1" ht="14.1" customHeight="1" x14ac:dyDescent="0.35">
      <c r="A7" s="13"/>
      <c r="B7" s="66">
        <f>IF(AND(YEAR(MaySun1+14)=CalendarYear,MONTH(MaySun1+14)=5),MaySun1+14, "")</f>
        <v>44325</v>
      </c>
      <c r="C7" s="47">
        <f>IF(AND(YEAR(MaySun1+15)=CalendarYear,MONTH(MaySun1+15)=5),MaySun1+15, "")</f>
        <v>44326</v>
      </c>
      <c r="D7" s="42">
        <f>IF(AND(YEAR(MaySun1+16)=CalendarYear,MONTH(MaySun1+16)=5),MaySun1+16, "")</f>
        <v>44327</v>
      </c>
      <c r="E7" s="42">
        <f>IF(AND(YEAR(MaySun1+17)=CalendarYear,MONTH(MaySun1+17)=5),MaySun1+17, "")</f>
        <v>44328</v>
      </c>
      <c r="F7" s="42">
        <f>IF(AND(YEAR(MaySun1+18)=CalendarYear,MONTH(MaySun1+18)=5),MaySun1+18, "")</f>
        <v>44329</v>
      </c>
      <c r="G7" s="48">
        <f>IF(AND(YEAR(MaySun1+19)=CalendarYear,MONTH(MaySun1+19)=5),MaySun1+19, "")</f>
        <v>44330</v>
      </c>
      <c r="H7" s="66">
        <f>IF(AND(YEAR(MaySun1+20)=CalendarYear,MONTH(MaySun1+20)=5),MaySun1+20, "")</f>
        <v>44331</v>
      </c>
    </row>
    <row r="8" spans="1:8" ht="111" customHeight="1" x14ac:dyDescent="0.3">
      <c r="B8" s="97" t="s">
        <v>29</v>
      </c>
      <c r="C8" s="76" t="s">
        <v>9</v>
      </c>
      <c r="D8" s="92"/>
      <c r="E8" s="77" t="s">
        <v>8</v>
      </c>
      <c r="F8" s="77" t="s">
        <v>30</v>
      </c>
      <c r="G8" s="87"/>
      <c r="H8" s="93" t="s">
        <v>11</v>
      </c>
    </row>
    <row r="9" spans="1:8" s="15" customFormat="1" ht="14.1" customHeight="1" x14ac:dyDescent="0.35">
      <c r="A9" s="13"/>
      <c r="B9" s="66">
        <f>IF(AND(YEAR(MaySun1+21)=CalendarYear,MONTH(MaySun1+21)=5),MaySun1+21, "")</f>
        <v>44332</v>
      </c>
      <c r="C9" s="58">
        <f>IF(AND(YEAR(MaySun1+22)=CalendarYear,MONTH(MaySun1+22)=5),MaySun1+22, "")</f>
        <v>44333</v>
      </c>
      <c r="D9" s="21">
        <f>IF(AND(YEAR(MaySun1+23)=CalendarYear,MONTH(MaySun1+23)=5),MaySun1+23, "")</f>
        <v>44334</v>
      </c>
      <c r="E9" s="21">
        <f>IF(AND(YEAR(MaySun1+24)=CalendarYear,MONTH(MaySun1+24)=5),MaySun1+24, "")</f>
        <v>44335</v>
      </c>
      <c r="F9" s="21">
        <f>IF(AND(YEAR(MaySun1+25)=CalendarYear,MONTH(MaySun1+25)=5),MaySun1+25, "")</f>
        <v>44336</v>
      </c>
      <c r="G9" s="59">
        <f>IF(AND(YEAR(MaySun1+26)=CalendarYear,MONTH(MaySun1+26)=5),MaySun1+26, "")</f>
        <v>44337</v>
      </c>
      <c r="H9" s="66">
        <f>IF(AND(YEAR(MaySun1+27)=CalendarYear,MONTH(MaySun1+27)=5),MaySun1+27, "")</f>
        <v>44338</v>
      </c>
    </row>
    <row r="10" spans="1:8" ht="111" customHeight="1" x14ac:dyDescent="0.3">
      <c r="B10" s="98"/>
      <c r="C10" s="76" t="s">
        <v>31</v>
      </c>
      <c r="D10" s="77" t="s">
        <v>10</v>
      </c>
      <c r="E10" s="77" t="s">
        <v>32</v>
      </c>
      <c r="F10" s="86" t="s">
        <v>33</v>
      </c>
      <c r="G10" s="80"/>
      <c r="H10" s="68"/>
    </row>
    <row r="11" spans="1:8" s="15" customFormat="1" ht="14.1" customHeight="1" x14ac:dyDescent="0.35">
      <c r="A11" s="13"/>
      <c r="B11" s="66">
        <f>IF(AND(YEAR(MaySun1+28)=CalendarYear,MONTH(MaySun1+28)=5),MaySun1+28, "")</f>
        <v>44339</v>
      </c>
      <c r="C11" s="58">
        <f>IF(AND(YEAR(MaySun1+29)=CalendarYear,MONTH(MaySun1+29)=5),MaySun1+29, "")</f>
        <v>44340</v>
      </c>
      <c r="D11" s="21">
        <f>IF(AND(YEAR(MaySun1+30)=CalendarYear,MONTH(MaySun1+30)=5),MaySun1+30, "")</f>
        <v>44341</v>
      </c>
      <c r="E11" s="21">
        <f>IF(AND(YEAR(MaySun1+31)=CalendarYear,MONTH(MaySun1+31)=5),MaySun1+31, "")</f>
        <v>44342</v>
      </c>
      <c r="F11" s="21">
        <f>IF(AND(YEAR(MaySun1+32)=CalendarYear,MONTH(MaySun1+32)=5),MaySun1+32, "")</f>
        <v>44343</v>
      </c>
      <c r="G11" s="59">
        <f>IF(AND(YEAR(MaySun1+33)=CalendarYear,MONTH(MaySun1+33)=5),MaySun1+33, "")</f>
        <v>44344</v>
      </c>
      <c r="H11" s="66">
        <f>IF(AND(YEAR(MaySun1+34)=CalendarYear,MONTH(MaySun1+34)=5),MaySun1+34, "")</f>
        <v>44345</v>
      </c>
    </row>
    <row r="12" spans="1:8" ht="111" customHeight="1" x14ac:dyDescent="0.3">
      <c r="B12" s="68"/>
      <c r="C12" s="90"/>
      <c r="D12" s="94" t="s">
        <v>34</v>
      </c>
      <c r="E12" s="77" t="s">
        <v>35</v>
      </c>
      <c r="F12" s="77"/>
      <c r="G12" s="95"/>
      <c r="H12" s="68"/>
    </row>
  </sheetData>
  <mergeCells count="1">
    <mergeCell ref="B1:H1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autoPageBreaks="0" fitToPage="1"/>
  </sheetPr>
  <dimension ref="A1:H14"/>
  <sheetViews>
    <sheetView showGridLines="0" topLeftCell="B1" zoomScale="75" zoomScaleNormal="75" workbookViewId="0">
      <selection activeCell="B1" sqref="B1:H12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6384" width="8.625" style="7"/>
  </cols>
  <sheetData>
    <row r="1" spans="1:8" s="6" customFormat="1" ht="39.950000000000003" customHeight="1" x14ac:dyDescent="0.3">
      <c r="B1" s="182">
        <f>DATE(CalendarYear,6,1)</f>
        <v>44348</v>
      </c>
      <c r="C1" s="182"/>
      <c r="D1" s="182"/>
      <c r="E1" s="182"/>
      <c r="F1" s="182"/>
      <c r="G1" s="182"/>
      <c r="H1" s="182"/>
    </row>
    <row r="2" spans="1:8" s="15" customFormat="1" ht="21.75" customHeight="1" x14ac:dyDescent="0.35">
      <c r="A2" s="105"/>
      <c r="B2" s="106" t="s">
        <v>1</v>
      </c>
      <c r="C2" s="107" t="s">
        <v>2</v>
      </c>
      <c r="D2" s="107" t="s">
        <v>3</v>
      </c>
      <c r="E2" s="107" t="s">
        <v>4</v>
      </c>
      <c r="F2" s="107" t="s">
        <v>5</v>
      </c>
      <c r="G2" s="107" t="s">
        <v>6</v>
      </c>
      <c r="H2" s="108" t="s">
        <v>7</v>
      </c>
    </row>
    <row r="3" spans="1:8" s="15" customFormat="1" ht="14.1" customHeight="1" x14ac:dyDescent="0.35">
      <c r="A3" s="103"/>
      <c r="B3" s="73" t="str">
        <f>IF(AND(YEAR(JunSun1)=CalendarYear,MONTH(JunSun1)=6),JunSun1, "")</f>
        <v/>
      </c>
      <c r="C3" s="17" t="str">
        <f>IF(AND(YEAR(JunSun1+1)=CalendarYear,MONTH(JunSun1+1)=6),JunSun1+1, "")</f>
        <v/>
      </c>
      <c r="D3" s="14">
        <f>IF(AND(YEAR(JunSun1+2)=CalendarYear,MONTH(JunSun1+2)=6),JunSun1+2, "")</f>
        <v>44348</v>
      </c>
      <c r="E3" s="14">
        <f>IF(AND(YEAR(JunSun1+3)=CalendarYear,MONTH(JunSun1+3)=6),JunSun1+3, "")</f>
        <v>44349</v>
      </c>
      <c r="F3" s="14">
        <f>IF(AND(YEAR(JunSun1+4)=CalendarYear,MONTH(JunSun1+4)=6),JunSun1+4, "")</f>
        <v>44350</v>
      </c>
      <c r="G3" s="65">
        <f>IF(AND(YEAR(JunSun1+5)=CalendarYear,MONTH(JunSun1+5)=6),JunSun1+5, "")</f>
        <v>44351</v>
      </c>
      <c r="H3" s="75">
        <f>IF(AND(YEAR(JunSun1+6)=CalendarYear,MONTH(JunSun1+6)=6),JunSun1+6, "")</f>
        <v>44352</v>
      </c>
    </row>
    <row r="4" spans="1:8" ht="111" customHeight="1" x14ac:dyDescent="0.3">
      <c r="A4" s="104"/>
      <c r="B4" s="68"/>
      <c r="C4" s="76"/>
      <c r="D4" s="86"/>
      <c r="E4" s="77"/>
      <c r="F4" s="84"/>
      <c r="G4" s="87"/>
      <c r="H4" s="68"/>
    </row>
    <row r="5" spans="1:8" s="15" customFormat="1" ht="14.1" customHeight="1" x14ac:dyDescent="0.35">
      <c r="A5" s="103"/>
      <c r="B5" s="66">
        <f>IF(AND(YEAR(JunSun1+7)=CalendarYear,MONTH(JunSun1+7)=6),JunSun1+7, "")</f>
        <v>44353</v>
      </c>
      <c r="C5" s="47">
        <f>IF(AND(YEAR(JunSun1+8)=CalendarYear,MONTH(JunSun1+8)=6),JunSun1+8, "")</f>
        <v>44354</v>
      </c>
      <c r="D5" s="42">
        <f>IF(AND(YEAR(JunSun1+9)=CalendarYear,MONTH(JunSun1+9)=6),JunSun1+9, "")</f>
        <v>44355</v>
      </c>
      <c r="E5" s="42">
        <f>IF(AND(YEAR(JunSun1+10)=CalendarYear,MONTH(JunSun1+10)=6),JunSun1+10, "")</f>
        <v>44356</v>
      </c>
      <c r="F5" s="42">
        <f>IF(AND(YEAR(JunSun1+11)=CalendarYear,MONTH(JunSun1+11)=6),JunSun1+11, "")</f>
        <v>44357</v>
      </c>
      <c r="G5" s="48">
        <f>IF(AND(YEAR(JunSun1+12)=CalendarYear,MONTH(JunSun1+12)=6),JunSun1+12,"")</f>
        <v>44358</v>
      </c>
      <c r="H5" s="66">
        <f>IF(AND(YEAR(JunSun1+13)=CalendarYear,MONTH(JunSun1+13)=6),JunSun1+13, "")</f>
        <v>44359</v>
      </c>
    </row>
    <row r="6" spans="1:8" ht="111" customHeight="1" x14ac:dyDescent="0.3">
      <c r="A6" s="104"/>
      <c r="B6" s="68"/>
      <c r="C6" s="76" t="s">
        <v>9</v>
      </c>
      <c r="D6" s="86" t="s">
        <v>36</v>
      </c>
      <c r="E6" s="77" t="s">
        <v>8</v>
      </c>
      <c r="F6" s="84"/>
      <c r="G6" s="80" t="s">
        <v>37</v>
      </c>
      <c r="H6" s="100"/>
    </row>
    <row r="7" spans="1:8" s="15" customFormat="1" ht="14.1" customHeight="1" x14ac:dyDescent="0.35">
      <c r="A7" s="103"/>
      <c r="B7" s="66">
        <f>IF(AND(YEAR(JunSun1+14)=CalendarYear,MONTH(JunSun1+14)=6),JunSun1+14, "")</f>
        <v>44360</v>
      </c>
      <c r="C7" s="47">
        <f>IF(AND(YEAR(JunSun1+15)=CalendarYear,MONTH(JunSun1+15)=6),JunSun1+15, "")</f>
        <v>44361</v>
      </c>
      <c r="D7" s="42">
        <f>IF(AND(YEAR(JunSun1+16)=CalendarYear,MONTH(JunSun1+16)=6),JunSun1+16, "")</f>
        <v>44362</v>
      </c>
      <c r="E7" s="42">
        <f>IF(AND(YEAR(JunSun1+17)=CalendarYear,MONTH(JunSun1+17)=6),JunSun1+17, "")</f>
        <v>44363</v>
      </c>
      <c r="F7" s="42">
        <f>IF(AND(YEAR(JunSun1+18)=CalendarYear,MONTH(JunSun1+18)=6),JunSun1+18, "")</f>
        <v>44364</v>
      </c>
      <c r="G7" s="48">
        <f>IF(AND(YEAR(JunSun1+19)=CalendarYear,MONTH(JunSun1+19)=6),JunSun1+19, "")</f>
        <v>44365</v>
      </c>
      <c r="H7" s="66">
        <f>IF(AND(YEAR(JunSun1+20)=CalendarYear,MONTH(JunSun1+20)=6),JunSun1+20, "")</f>
        <v>44366</v>
      </c>
    </row>
    <row r="8" spans="1:8" ht="111" customHeight="1" x14ac:dyDescent="0.3">
      <c r="A8" s="104"/>
      <c r="B8" s="68"/>
      <c r="C8" s="76" t="s">
        <v>9</v>
      </c>
      <c r="D8" s="77" t="s">
        <v>10</v>
      </c>
      <c r="E8" s="77" t="s">
        <v>38</v>
      </c>
      <c r="F8" s="84"/>
      <c r="G8" s="101"/>
      <c r="H8" s="100"/>
    </row>
    <row r="9" spans="1:8" s="15" customFormat="1" ht="14.1" customHeight="1" x14ac:dyDescent="0.35">
      <c r="A9" s="103"/>
      <c r="B9" s="66">
        <f>IF(AND(YEAR(JunSun1+21)=CalendarYear,MONTH(JunSun1+21)=6),JunSun1+21, "")</f>
        <v>44367</v>
      </c>
      <c r="C9" s="47">
        <f>IF(AND(YEAR(JunSun1+22)=CalendarYear,MONTH(JunSun1+22)=6),JunSun1+22, "")</f>
        <v>44368</v>
      </c>
      <c r="D9" s="21">
        <f>IF(AND(YEAR(JunSun1+23)=CalendarYear,MONTH(JunSun1+23)=6),JunSun1+23, "")</f>
        <v>44369</v>
      </c>
      <c r="E9" s="21">
        <f>IF(AND(YEAR(JunSun1+24)=CalendarYear,MONTH(JunSun1+24)=6),JunSun1+24, "")</f>
        <v>44370</v>
      </c>
      <c r="F9" s="21">
        <f>IF(AND(YEAR(JunSun1+25)=CalendarYear,MONTH(JunSun1+25)=6),JunSun1+25, "")</f>
        <v>44371</v>
      </c>
      <c r="G9" s="59">
        <f>IF(AND(YEAR(JunSun1+26)=CalendarYear,MONTH(JunSun1+26)=6),JunSun1+26, "")</f>
        <v>44372</v>
      </c>
      <c r="H9" s="66">
        <f>IF(AND(YEAR(JunSun1+27)=CalendarYear,MONTH(JunSun1+27)=6),JunSun1+27, "")</f>
        <v>44373</v>
      </c>
    </row>
    <row r="10" spans="1:8" ht="111" customHeight="1" x14ac:dyDescent="0.3">
      <c r="A10" s="102"/>
      <c r="B10" s="68"/>
      <c r="C10" s="76" t="s">
        <v>39</v>
      </c>
      <c r="D10" s="77" t="s">
        <v>40</v>
      </c>
      <c r="E10" s="77" t="s">
        <v>15</v>
      </c>
      <c r="F10" s="77"/>
      <c r="G10" s="80" t="s">
        <v>41</v>
      </c>
      <c r="H10" s="68"/>
    </row>
    <row r="11" spans="1:8" s="15" customFormat="1" ht="14.1" customHeight="1" x14ac:dyDescent="0.35">
      <c r="A11" s="103"/>
      <c r="B11" s="66">
        <f>IF(AND(YEAR(JunSun1+28)=CalendarYear,MONTH(JunSun1+28)=6),JunSun1+28, "")</f>
        <v>44374</v>
      </c>
      <c r="C11" s="47">
        <f>IF(AND(YEAR(JunSun1+29)=CalendarYear,MONTH(JunSun1+29)=6),JunSun1+29, "")</f>
        <v>44375</v>
      </c>
      <c r="D11" s="21">
        <f>IF(AND(YEAR(JunSun1+30)=CalendarYear,MONTH(JunSun1+30)=6),JunSun1+30, "")</f>
        <v>44376</v>
      </c>
      <c r="E11" s="21">
        <f>IF(AND(YEAR(JunSun1+31)=CalendarYear,MONTH(JunSun1+31)=6),JunSun1+31, "")</f>
        <v>44377</v>
      </c>
      <c r="F11" s="21" t="str">
        <f>IF(AND(YEAR(JunSun1+32)=CalendarYear,MONTH(JunSun1+32)=6),JunSun1+32, "")</f>
        <v/>
      </c>
      <c r="G11" s="59" t="str">
        <f>IF(AND(YEAR(JunSun1+33)=CalendarYear,MONTH(JunSun1+33)=6),JunSun1+33, "")</f>
        <v/>
      </c>
      <c r="H11" s="66" t="str">
        <f>IF(AND(YEAR(JunSun1+34)=CalendarYear,MONTH(JunSun1+34)=6),JunSun1+34, "")</f>
        <v/>
      </c>
    </row>
    <row r="12" spans="1:8" ht="111" customHeight="1" x14ac:dyDescent="0.3">
      <c r="A12" s="104"/>
      <c r="B12" s="68"/>
      <c r="C12" s="76" t="s">
        <v>42</v>
      </c>
      <c r="D12" s="77" t="s">
        <v>10</v>
      </c>
      <c r="E12" s="77" t="s">
        <v>43</v>
      </c>
      <c r="F12" s="77" t="s">
        <v>16</v>
      </c>
      <c r="G12" s="95"/>
      <c r="H12" s="68"/>
    </row>
    <row r="13" spans="1:8" s="15" customFormat="1" ht="14.1" hidden="1" customHeight="1" x14ac:dyDescent="0.35">
      <c r="A13" s="13"/>
      <c r="B13" s="99" t="str">
        <f>IF(AND(YEAR(JunSun1+35)=CalendarYear,MONTH(JunSun1+35)=6),JunSun1+35, "")</f>
        <v/>
      </c>
      <c r="C13" s="180" t="s">
        <v>12</v>
      </c>
      <c r="D13" s="180"/>
      <c r="E13" s="180"/>
      <c r="F13" s="180"/>
      <c r="G13" s="180"/>
      <c r="H13" s="181"/>
    </row>
    <row r="14" spans="1:8" s="15" customFormat="1" ht="57.95" hidden="1" customHeight="1" thickBot="1" x14ac:dyDescent="0.4">
      <c r="A14" s="13"/>
      <c r="B14" s="16"/>
      <c r="C14" s="191"/>
      <c r="D14" s="192"/>
      <c r="E14" s="192"/>
      <c r="F14" s="192"/>
      <c r="G14" s="192"/>
      <c r="H14" s="193"/>
    </row>
  </sheetData>
  <mergeCells count="3">
    <mergeCell ref="B1:H1"/>
    <mergeCell ref="C13:H13"/>
    <mergeCell ref="C14:H1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autoPageBreaks="0" fitToPage="1"/>
  </sheetPr>
  <dimension ref="A1:L14"/>
  <sheetViews>
    <sheetView showGridLines="0" topLeftCell="B1" zoomScale="75" zoomScaleNormal="75" workbookViewId="0">
      <selection activeCell="B1" sqref="B1:H12"/>
    </sheetView>
  </sheetViews>
  <sheetFormatPr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2" width="0" style="36" hidden="1" customWidth="1"/>
    <col min="13" max="13" width="0" style="7" hidden="1" customWidth="1"/>
    <col min="14" max="16384" width="9" style="7"/>
  </cols>
  <sheetData>
    <row r="1" spans="1:12" s="6" customFormat="1" ht="39.950000000000003" customHeight="1" x14ac:dyDescent="0.3">
      <c r="A1" s="37"/>
      <c r="B1" s="194">
        <f>DATE(CalendarYear,7,1)</f>
        <v>44378</v>
      </c>
      <c r="C1" s="195"/>
      <c r="D1" s="195"/>
      <c r="E1" s="195"/>
      <c r="F1" s="195"/>
      <c r="G1" s="195"/>
      <c r="H1" s="196"/>
      <c r="I1" s="34"/>
      <c r="J1" s="34"/>
      <c r="K1" s="34"/>
      <c r="L1" s="34"/>
    </row>
    <row r="2" spans="1:12" s="15" customFormat="1" ht="21.75" customHeight="1" x14ac:dyDescent="0.35">
      <c r="A2" s="111"/>
      <c r="B2" s="112" t="s">
        <v>1</v>
      </c>
      <c r="C2" s="113" t="s">
        <v>2</v>
      </c>
      <c r="D2" s="113" t="s">
        <v>3</v>
      </c>
      <c r="E2" s="113" t="s">
        <v>4</v>
      </c>
      <c r="F2" s="113" t="s">
        <v>5</v>
      </c>
      <c r="G2" s="113" t="s">
        <v>6</v>
      </c>
      <c r="H2" s="114" t="s">
        <v>7</v>
      </c>
      <c r="I2" s="35"/>
      <c r="J2" s="35"/>
      <c r="K2" s="35"/>
      <c r="L2" s="35"/>
    </row>
    <row r="3" spans="1:12" s="15" customFormat="1" ht="14.1" customHeight="1" x14ac:dyDescent="0.35">
      <c r="A3" s="105"/>
      <c r="B3" s="116" t="str">
        <f>IF(AND(YEAR(JulSun1)=CalendarYear,MONTH(JulSun1)=7),JulSun1, "")</f>
        <v/>
      </c>
      <c r="C3" s="47" t="str">
        <f>IF(AND(YEAR(JulSun1+1)=CalendarYear,MONTH(JulSun1+1)=7),JulSun1+1, "")</f>
        <v/>
      </c>
      <c r="D3" s="42" t="str">
        <f>IF(AND(YEAR(JulSun1+2)=CalendarYear,MONTH(JulSun1+2)=7),JulSun1+2, "")</f>
        <v/>
      </c>
      <c r="E3" s="42" t="str">
        <f>IF(AND(YEAR(JulSun1+3)=CalendarYear,MONTH(JulSun1+3)=7),JulSun1+3, "")</f>
        <v/>
      </c>
      <c r="F3" s="42">
        <f>IF(AND(YEAR(JulSun1+4)=CalendarYear,MONTH(JulSun1+4)=7),JulSun1+4, "")</f>
        <v>44378</v>
      </c>
      <c r="G3" s="48">
        <f>IF(AND(YEAR(JulSun1+5)=CalendarYear,MONTH(JulSun1+5)=7),JulSun1+5, "")</f>
        <v>44379</v>
      </c>
      <c r="H3" s="75">
        <f>IF(AND(YEAR(JulSun1+6)=CalendarYear,MONTH(JulSun1+6)=7),JulSun1+6, "")</f>
        <v>44380</v>
      </c>
      <c r="I3" s="35"/>
      <c r="J3" s="35"/>
      <c r="K3" s="35"/>
      <c r="L3" s="35"/>
    </row>
    <row r="4" spans="1:12" ht="111" customHeight="1" x14ac:dyDescent="0.3">
      <c r="A4" s="104"/>
      <c r="B4" s="68"/>
      <c r="C4" s="76"/>
      <c r="D4" s="77"/>
      <c r="E4" s="118"/>
      <c r="F4" s="84"/>
      <c r="G4" s="80" t="s">
        <v>58</v>
      </c>
      <c r="H4" s="96" t="s">
        <v>66</v>
      </c>
    </row>
    <row r="5" spans="1:12" s="15" customFormat="1" ht="14.1" customHeight="1" x14ac:dyDescent="0.35">
      <c r="A5" s="103"/>
      <c r="B5" s="117">
        <f>IF(AND(YEAR(JulSun1+7)=CalendarYear,MONTH(JulSun1+7)=7),JulSun1+7, "")</f>
        <v>44381</v>
      </c>
      <c r="C5" s="47">
        <f>IF(AND(YEAR(JulSun1+8)=CalendarYear,MONTH(JulSun1+8)=7),JulSun1+8, "")</f>
        <v>44382</v>
      </c>
      <c r="D5" s="42">
        <f>IF(AND(YEAR(JulSun1+9)=CalendarYear,MONTH(JulSun1+9)=7),JulSun1+9, "")</f>
        <v>44383</v>
      </c>
      <c r="E5" s="42">
        <f>IF(AND(YEAR(JulSun1+10)=CalendarYear,MONTH(JulSun1+10)=7),JulSun1+10, "")</f>
        <v>44384</v>
      </c>
      <c r="F5" s="42">
        <f>IF(AND(YEAR(JulSun1+11)=CalendarYear,MONTH(JulSun1+11)=7),JulSun1+11, "")</f>
        <v>44385</v>
      </c>
      <c r="G5" s="48">
        <f>IF(AND(YEAR(JulSun1+12)=CalendarYear,MONTH(JulSun1+12)=7),JulSun1+12,"")</f>
        <v>44386</v>
      </c>
      <c r="H5" s="66">
        <f>IF(AND(YEAR(JulSun1+13)=CalendarYear,MONTH(JulSun1+13)=7),JulSun1+13, "")</f>
        <v>44387</v>
      </c>
      <c r="I5" s="35"/>
      <c r="J5" s="35"/>
      <c r="K5" s="35"/>
      <c r="L5" s="35"/>
    </row>
    <row r="6" spans="1:12" ht="111" customHeight="1" x14ac:dyDescent="0.3">
      <c r="A6" s="104"/>
      <c r="B6" s="68"/>
      <c r="C6" s="119" t="s">
        <v>53</v>
      </c>
      <c r="D6" s="77"/>
      <c r="E6" s="120" t="s">
        <v>62</v>
      </c>
      <c r="F6" s="84"/>
      <c r="G6" s="121" t="s">
        <v>59</v>
      </c>
      <c r="H6" s="68"/>
    </row>
    <row r="7" spans="1:12" s="15" customFormat="1" ht="14.1" customHeight="1" x14ac:dyDescent="0.35">
      <c r="A7" s="103"/>
      <c r="B7" s="117">
        <f>IF(AND(YEAR(JulSun1+14)=CalendarYear,MONTH(JulSun1+14)=7),JulSun1+14, "")</f>
        <v>44388</v>
      </c>
      <c r="C7" s="47">
        <f>IF(AND(YEAR(JulSun1+15)=CalendarYear,MONTH(JulSun1+15)=7),JulSun1+15, "")</f>
        <v>44389</v>
      </c>
      <c r="D7" s="42">
        <f>IF(AND(YEAR(JulSun1+16)=CalendarYear,MONTH(JulSun1+16)=7),JulSun1+16, "")</f>
        <v>44390</v>
      </c>
      <c r="E7" s="42">
        <f>IF(AND(YEAR(JulSun1+17)=CalendarYear,MONTH(JulSun1+17)=7),JulSun1+17, "")</f>
        <v>44391</v>
      </c>
      <c r="F7" s="42">
        <f>IF(AND(YEAR(JulSun1+18)=CalendarYear,MONTH(JulSun1+18)=7),JulSun1+18, "")</f>
        <v>44392</v>
      </c>
      <c r="G7" s="48">
        <f>IF(AND(YEAR(JulSun1+19)=CalendarYear,MONTH(JulSun1+19)=7),JulSun1+19, "")</f>
        <v>44393</v>
      </c>
      <c r="H7" s="66">
        <f>IF(AND(YEAR(JulSun1+20)=CalendarYear,MONTH(JulSun1+20)=7),JulSun1+20, "")</f>
        <v>44394</v>
      </c>
      <c r="I7" s="35"/>
      <c r="J7" s="35"/>
      <c r="K7" s="35"/>
      <c r="L7" s="35"/>
    </row>
    <row r="8" spans="1:12" ht="111" customHeight="1" x14ac:dyDescent="0.3">
      <c r="A8" s="104"/>
      <c r="B8" s="68"/>
      <c r="C8" s="119" t="s">
        <v>54</v>
      </c>
      <c r="D8" s="120"/>
      <c r="E8" s="120" t="s">
        <v>63</v>
      </c>
      <c r="F8" s="120" t="s">
        <v>64</v>
      </c>
      <c r="G8" s="80" t="s">
        <v>58</v>
      </c>
      <c r="H8" s="100"/>
    </row>
    <row r="9" spans="1:12" s="15" customFormat="1" ht="14.1" customHeight="1" x14ac:dyDescent="0.35">
      <c r="A9" s="103"/>
      <c r="B9" s="117">
        <f>IF(AND(YEAR(JulSun1+21)=CalendarYear,MONTH(JulSun1+21)=7),JulSun1+21, "")</f>
        <v>44395</v>
      </c>
      <c r="C9" s="58">
        <f>IF(AND(YEAR(JulSun1+22)=CalendarYear,MONTH(JulSun1+22)=7),JulSun1+22, "")</f>
        <v>44396</v>
      </c>
      <c r="D9" s="21">
        <f>IF(AND(YEAR(JulSun1+23)=CalendarYear,MONTH(JulSun1+23)=7),JulSun1+23, "")</f>
        <v>44397</v>
      </c>
      <c r="E9" s="21">
        <f>IF(AND(YEAR(JulSun1+24)=CalendarYear,MONTH(JulSun1+24)=7),JulSun1+24, "")</f>
        <v>44398</v>
      </c>
      <c r="F9" s="21">
        <f>IF(AND(YEAR(JulSun1+25)=CalendarYear,MONTH(JulSun1+25)=7),JulSun1+25, "")</f>
        <v>44399</v>
      </c>
      <c r="G9" s="59">
        <f>IF(AND(YEAR(JulSun1+26)=CalendarYear,MONTH(JulSun1+26)=7),JulSun1+26, "")</f>
        <v>44400</v>
      </c>
      <c r="H9" s="66">
        <f>IF(AND(YEAR(JulSun1+27)=CalendarYear,MONTH(JulSun1+27)=7),JulSun1+27, "")</f>
        <v>44401</v>
      </c>
      <c r="I9" s="35"/>
      <c r="J9" s="35"/>
      <c r="K9" s="35"/>
      <c r="L9" s="35"/>
    </row>
    <row r="10" spans="1:12" ht="111" customHeight="1" x14ac:dyDescent="0.3">
      <c r="A10" s="104"/>
      <c r="B10" s="68"/>
      <c r="C10" s="122" t="s">
        <v>56</v>
      </c>
      <c r="D10" s="120" t="s">
        <v>55</v>
      </c>
      <c r="E10" s="120" t="s">
        <v>60</v>
      </c>
      <c r="F10" s="120" t="s">
        <v>65</v>
      </c>
      <c r="G10" s="121" t="s">
        <v>57</v>
      </c>
      <c r="H10" s="79" t="s">
        <v>11</v>
      </c>
    </row>
    <row r="11" spans="1:12" s="15" customFormat="1" ht="14.1" customHeight="1" x14ac:dyDescent="0.35">
      <c r="A11" s="103"/>
      <c r="B11" s="117">
        <f>IF(AND(YEAR(JulSun1+28)=CalendarYear,MONTH(JulSun1+28)=7),JulSun1+28, "")</f>
        <v>44402</v>
      </c>
      <c r="C11" s="58">
        <f>IF(AND(YEAR(JulSun1+29)=CalendarYear,MONTH(JulSun1+29)=7),JulSun1+29, "")</f>
        <v>44403</v>
      </c>
      <c r="D11" s="21">
        <f>IF(AND(YEAR(JulSun1+30)=CalendarYear,MONTH(JulSun1+30)=7),JulSun1+30, "")</f>
        <v>44404</v>
      </c>
      <c r="E11" s="21">
        <f>IF(AND(YEAR(JulSun1+31)=CalendarYear,MONTH(JulSun1+31)=7),JulSun1+31, "")</f>
        <v>44405</v>
      </c>
      <c r="F11" s="21">
        <f>IF(AND(YEAR(JulSun1+32)=CalendarYear,MONTH(JulSun1+32)=7),JulSun1+32, "")</f>
        <v>44406</v>
      </c>
      <c r="G11" s="59">
        <f>IF(AND(YEAR(JulSun1+33)=CalendarYear,MONTH(JulSun1+33)=7),JulSun1+33, "")</f>
        <v>44407</v>
      </c>
      <c r="H11" s="66">
        <f>IF(AND(YEAR(JulSun1+34)=CalendarYear,MONTH(JulSun1+34)=7),JulSun1+34, "")</f>
        <v>44408</v>
      </c>
      <c r="I11" s="35"/>
      <c r="J11" s="35"/>
      <c r="K11" s="35"/>
      <c r="L11" s="35"/>
    </row>
    <row r="12" spans="1:12" ht="111" customHeight="1" x14ac:dyDescent="0.3">
      <c r="A12" s="102"/>
      <c r="B12" s="68"/>
      <c r="C12" s="119" t="s">
        <v>61</v>
      </c>
      <c r="D12" s="77"/>
      <c r="E12" s="77" t="s">
        <v>50</v>
      </c>
      <c r="F12" s="77"/>
      <c r="G12" s="121"/>
      <c r="H12" s="68"/>
    </row>
    <row r="13" spans="1:12" s="15" customFormat="1" ht="11.1" hidden="1" customHeight="1" x14ac:dyDescent="0.35">
      <c r="A13" s="24"/>
      <c r="B13" s="115" t="str">
        <f>IF(AND(YEAR(JulSun1+35)=CalendarYear,MONTH(JulSun1+35)=7),JulSun1+35, "")</f>
        <v/>
      </c>
      <c r="C13" s="123" t="str">
        <f>IF(AND(YEAR(JulSun1+36)=CalendarYear,MONTH(JulSun1+36)=7),JulSun1+36, "")</f>
        <v/>
      </c>
      <c r="D13" s="197"/>
      <c r="E13" s="197"/>
      <c r="F13" s="197"/>
      <c r="G13" s="197"/>
      <c r="H13" s="197"/>
      <c r="I13" s="35"/>
      <c r="J13" s="35"/>
      <c r="K13" s="35"/>
      <c r="L13" s="35"/>
    </row>
    <row r="14" spans="1:12" ht="111" hidden="1" customHeight="1" thickBot="1" x14ac:dyDescent="0.35">
      <c r="A14" s="26"/>
      <c r="B14" s="38"/>
      <c r="C14" s="39"/>
      <c r="D14" s="198"/>
      <c r="E14" s="198"/>
      <c r="F14" s="198"/>
      <c r="G14" s="198"/>
      <c r="H14" s="198"/>
    </row>
  </sheetData>
  <mergeCells count="3">
    <mergeCell ref="B1:H1"/>
    <mergeCell ref="D13:H13"/>
    <mergeCell ref="D14:H1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  <pageSetUpPr autoPageBreaks="0" fitToPage="1"/>
  </sheetPr>
  <dimension ref="A1:H14"/>
  <sheetViews>
    <sheetView showGridLines="0" topLeftCell="B1" zoomScale="75" zoomScaleNormal="75" workbookViewId="0">
      <selection activeCell="H14" sqref="A1:H14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6384" width="8.625" style="7"/>
  </cols>
  <sheetData>
    <row r="1" spans="1:8" s="6" customFormat="1" ht="39.950000000000003" customHeight="1" x14ac:dyDescent="0.3">
      <c r="B1" s="182">
        <f>DATE(CalendarYear,8,1)</f>
        <v>44409</v>
      </c>
      <c r="C1" s="182"/>
      <c r="D1" s="182"/>
      <c r="E1" s="182"/>
      <c r="F1" s="182"/>
      <c r="G1" s="182"/>
      <c r="H1" s="182"/>
    </row>
    <row r="2" spans="1:8" s="15" customFormat="1" ht="21.75" customHeight="1" x14ac:dyDescent="0.35">
      <c r="A2" s="13"/>
      <c r="B2" s="130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09" t="s">
        <v>6</v>
      </c>
      <c r="H2" s="110" t="s">
        <v>7</v>
      </c>
    </row>
    <row r="3" spans="1:8" s="15" customFormat="1" ht="14.1" customHeight="1" x14ac:dyDescent="0.35">
      <c r="A3" s="13"/>
      <c r="B3" s="125">
        <f>IF(AND(YEAR(AugSun1)=CalendarYear,MONTH(AugSun1)=8),AugSun1, "")</f>
        <v>44409</v>
      </c>
      <c r="C3" s="124">
        <f>IF(AND(YEAR(AugSun1+1)=CalendarYear,MONTH(AugSun1+1)=8),AugSun1+1, "")</f>
        <v>44410</v>
      </c>
      <c r="D3" s="19">
        <f>IF(AND(YEAR(AugSun1+2)=CalendarYear,MONTH(AugSun1+2)=8),AugSun1+2, "")</f>
        <v>44411</v>
      </c>
      <c r="E3" s="19">
        <f>IF(AND(YEAR(AugSun1+3)=CalendarYear,MONTH(AugSun1+3)=8),AugSun1+3, "")</f>
        <v>44412</v>
      </c>
      <c r="F3" s="19">
        <f>IF(AND(YEAR(AugSun1+4)=CalendarYear,MONTH(AugSun1+4)=8),AugSun1+4, "")</f>
        <v>44413</v>
      </c>
      <c r="G3" s="129">
        <f>IF(AND(YEAR(AugSun1+5)=CalendarYear,MONTH(AugSun1+5)=8),AugSun1+5, "")</f>
        <v>44414</v>
      </c>
      <c r="H3" s="67">
        <f>IF(AND(YEAR(AugSun1+6)=CalendarYear,MONTH(AugSun1+6)=8),AugSun1+6, "")</f>
        <v>44415</v>
      </c>
    </row>
    <row r="4" spans="1:8" ht="39.950000000000003" customHeight="1" x14ac:dyDescent="0.3">
      <c r="B4" s="68"/>
      <c r="C4" s="126"/>
      <c r="D4" s="86"/>
      <c r="E4" s="77"/>
      <c r="F4" s="127"/>
      <c r="G4" s="80"/>
      <c r="H4" s="68"/>
    </row>
    <row r="5" spans="1:8" s="15" customFormat="1" ht="14.1" customHeight="1" x14ac:dyDescent="0.35">
      <c r="A5" s="13"/>
      <c r="B5" s="66">
        <f>IF(AND(YEAR(AugSun1+7)=CalendarYear,MONTH(AugSun1+7)=8),AugSun1+7, "")</f>
        <v>44416</v>
      </c>
      <c r="C5" s="47">
        <f>IF(AND(YEAR(AugSun1+8)=CalendarYear,MONTH(AugSun1+8)=8),AugSun1+8, "")</f>
        <v>44417</v>
      </c>
      <c r="D5" s="42">
        <f>IF(AND(YEAR(AugSun1+9)=CalendarYear,MONTH(AugSun1+9)=8),AugSun1+9, "")</f>
        <v>44418</v>
      </c>
      <c r="E5" s="42">
        <f>IF(AND(YEAR(AugSun1+10)=CalendarYear,MONTH(AugSun1+10)=8),AugSun1+10, "")</f>
        <v>44419</v>
      </c>
      <c r="F5" s="42">
        <f>IF(AND(YEAR(AugSun1+11)=CalendarYear,MONTH(AugSun1+11)=8),AugSun1+11, "")</f>
        <v>44420</v>
      </c>
      <c r="G5" s="48">
        <f>IF(AND(YEAR(AugSun1+12)=CalendarYear,MONTH(AugSun1+12)=8),AugSun1+12,"")</f>
        <v>44421</v>
      </c>
      <c r="H5" s="66">
        <f>IF(AND(YEAR(AugSun1+13)=CalendarYear,MONTH(AugSun1+13)=8),AugSun1+13, "")</f>
        <v>44422</v>
      </c>
    </row>
    <row r="6" spans="1:8" ht="111" customHeight="1" x14ac:dyDescent="0.3">
      <c r="B6" s="68"/>
      <c r="C6" s="76" t="s">
        <v>67</v>
      </c>
      <c r="D6" s="86"/>
      <c r="E6" s="77" t="s">
        <v>52</v>
      </c>
      <c r="F6" s="84"/>
      <c r="G6" s="80" t="s">
        <v>46</v>
      </c>
      <c r="H6" s="68"/>
    </row>
    <row r="7" spans="1:8" s="15" customFormat="1" ht="14.1" customHeight="1" x14ac:dyDescent="0.35">
      <c r="A7" s="13"/>
      <c r="B7" s="66">
        <f>IF(AND(YEAR(AugSun1+14)=CalendarYear,MONTH(AugSun1+14)=8),AugSun1+14, "")</f>
        <v>44423</v>
      </c>
      <c r="C7" s="47">
        <f>IF(AND(YEAR(AugSun1+15)=CalendarYear,MONTH(AugSun1+15)=8),AugSun1+15, "")</f>
        <v>44424</v>
      </c>
      <c r="D7" s="42">
        <f>IF(AND(YEAR(AugSun1+16)=CalendarYear,MONTH(AugSun1+16)=8),AugSun1+16, "")</f>
        <v>44425</v>
      </c>
      <c r="E7" s="42">
        <f>IF(AND(YEAR(AugSun1+17)=CalendarYear,MONTH(AugSun1+17)=8),AugSun1+17, "")</f>
        <v>44426</v>
      </c>
      <c r="F7" s="42">
        <f>IF(AND(YEAR(AugSun1+18)=CalendarYear,MONTH(AugSun1+18)=8),AugSun1+18, "")</f>
        <v>44427</v>
      </c>
      <c r="G7" s="48">
        <f>IF(AND(YEAR(AugSun1+19)=CalendarYear,MONTH(AugSun1+19)=8),AugSun1+19, "")</f>
        <v>44428</v>
      </c>
      <c r="H7" s="66">
        <f>IF(AND(YEAR(AugSun1+20)=CalendarYear,MONTH(AugSun1+20)=8),AugSun1+20, "")</f>
        <v>44429</v>
      </c>
    </row>
    <row r="8" spans="1:8" ht="111" customHeight="1" x14ac:dyDescent="0.3">
      <c r="B8" s="68"/>
      <c r="C8" s="76" t="s">
        <v>68</v>
      </c>
      <c r="D8" s="77"/>
      <c r="E8" s="77" t="s">
        <v>35</v>
      </c>
      <c r="F8" s="77" t="s">
        <v>74</v>
      </c>
      <c r="G8" s="80" t="s">
        <v>69</v>
      </c>
      <c r="H8" s="83"/>
    </row>
    <row r="9" spans="1:8" s="15" customFormat="1" ht="14.1" customHeight="1" x14ac:dyDescent="0.35">
      <c r="A9" s="13"/>
      <c r="B9" s="66">
        <f>IF(AND(YEAR(AugSun1+21)=CalendarYear,MONTH(AugSun1+21)=8),AugSun1+21, "")</f>
        <v>44430</v>
      </c>
      <c r="C9" s="58">
        <f>IF(AND(YEAR(AugSun1+22)=CalendarYear,MONTH(AugSun1+22)=8),AugSun1+22, "")</f>
        <v>44431</v>
      </c>
      <c r="D9" s="21">
        <f>IF(AND(YEAR(AugSun1+23)=CalendarYear,MONTH(AugSun1+23)=8),AugSun1+23, "")</f>
        <v>44432</v>
      </c>
      <c r="E9" s="21">
        <f>IF(AND(YEAR(AugSun1+24)=CalendarYear,MONTH(AugSun1+24)=8),AugSun1+24, "")</f>
        <v>44433</v>
      </c>
      <c r="F9" s="21">
        <f>IF(AND(YEAR(AugSun1+25)=CalendarYear,MONTH(AugSun1+25)=8),AugSun1+25, "")</f>
        <v>44434</v>
      </c>
      <c r="G9" s="59">
        <f>IF(AND(YEAR(AugSun1+26)=CalendarYear,MONTH(AugSun1+26)=8),AugSun1+26, "")</f>
        <v>44435</v>
      </c>
      <c r="H9" s="66">
        <f>IF(AND(YEAR(AugSun1+27)=CalendarYear,MONTH(AugSun1+27)=8),AugSun1+27, "")</f>
        <v>44436</v>
      </c>
    </row>
    <row r="10" spans="1:8" ht="111" customHeight="1" x14ac:dyDescent="0.3">
      <c r="B10" s="68"/>
      <c r="C10" s="128"/>
      <c r="D10" s="77"/>
      <c r="E10" s="77" t="s">
        <v>47</v>
      </c>
      <c r="F10" s="77" t="s">
        <v>72</v>
      </c>
      <c r="G10" s="80" t="s">
        <v>46</v>
      </c>
      <c r="H10" s="68"/>
    </row>
    <row r="11" spans="1:8" s="15" customFormat="1" ht="14.1" customHeight="1" x14ac:dyDescent="0.35">
      <c r="A11" s="13"/>
      <c r="B11" s="66">
        <f>IF(AND(YEAR(AugSun1+28)=CalendarYear,MONTH(AugSun1+28)=8),AugSun1+28, "")</f>
        <v>44437</v>
      </c>
      <c r="C11" s="58">
        <f>IF(AND(YEAR(AugSun1+29)=CalendarYear,MONTH(AugSun1+29)=8),AugSun1+29, "")</f>
        <v>44438</v>
      </c>
      <c r="D11" s="21">
        <f>IF(AND(YEAR(AugSun1+30)=CalendarYear,MONTH(AugSun1+30)=8),AugSun1+30, "")</f>
        <v>44439</v>
      </c>
      <c r="E11" s="21" t="str">
        <f>IF(AND(YEAR(AugSun1+31)=CalendarYear,MONTH(AugSun1+31)=8),AugSun1+31, "")</f>
        <v/>
      </c>
      <c r="F11" s="21" t="str">
        <f>IF(AND(YEAR(AugSun1+32)=CalendarYear,MONTH(AugSun1+32)=8),AugSun1+32, "")</f>
        <v/>
      </c>
      <c r="G11" s="59" t="str">
        <f>IF(AND(YEAR(AugSun1+33)=CalendarYear,MONTH(AugSun1+33)=8),AugSun1+33, "")</f>
        <v/>
      </c>
      <c r="H11" s="66" t="str">
        <f>IF(AND(YEAR(AugSun1+34)=CalendarYear,MONTH(AugSun1+34)=8),AugSun1+34, "")</f>
        <v/>
      </c>
    </row>
    <row r="12" spans="1:8" ht="111" customHeight="1" thickBot="1" x14ac:dyDescent="0.35">
      <c r="A12" s="20"/>
      <c r="B12" s="68"/>
      <c r="C12" s="76" t="s">
        <v>71</v>
      </c>
      <c r="D12" s="77"/>
      <c r="E12" s="77" t="s">
        <v>75</v>
      </c>
      <c r="F12" s="77" t="s">
        <v>73</v>
      </c>
      <c r="G12" s="80" t="s">
        <v>70</v>
      </c>
      <c r="H12" s="68"/>
    </row>
    <row r="13" spans="1:8" s="15" customFormat="1" ht="14.1" customHeight="1" x14ac:dyDescent="0.35">
      <c r="A13" s="13"/>
      <c r="B13" s="66" t="str">
        <f>IF(AND(YEAR(AugSun1+35)=CalendarYear,MONTH(AugSun1+35)=8),AugSun1+35, "")</f>
        <v/>
      </c>
      <c r="C13" s="58" t="str">
        <f>IF(AND(YEAR(AugSun1+36)=CalendarYear,MONTH(AugSun1+36)=8),AugSun1+36, "")</f>
        <v/>
      </c>
      <c r="D13" s="21"/>
      <c r="E13" s="21"/>
      <c r="F13" s="21"/>
      <c r="G13" s="59"/>
      <c r="H13" s="66"/>
    </row>
    <row r="14" spans="1:8" ht="111" customHeight="1" thickBot="1" x14ac:dyDescent="0.35">
      <c r="A14" s="20"/>
      <c r="B14" s="68"/>
      <c r="C14" s="76" t="s">
        <v>40</v>
      </c>
      <c r="D14" s="77"/>
      <c r="E14" s="77"/>
      <c r="F14" s="77"/>
      <c r="G14" s="80"/>
      <c r="H14" s="68"/>
    </row>
  </sheetData>
  <mergeCells count="1">
    <mergeCell ref="B1:H1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autoPageBreaks="0" fitToPage="1"/>
  </sheetPr>
  <dimension ref="A1:H19"/>
  <sheetViews>
    <sheetView showGridLines="0" topLeftCell="B1" zoomScale="75" zoomScaleNormal="75" workbookViewId="0">
      <selection activeCell="B1" sqref="B1:H12"/>
    </sheetView>
  </sheetViews>
  <sheetFormatPr defaultColWidth="8.625" defaultRowHeight="16.5" x14ac:dyDescent="0.3"/>
  <cols>
    <col min="1" max="1" width="2.375" style="6" hidden="1" customWidth="1"/>
    <col min="2" max="2" width="4.625" style="7" customWidth="1"/>
    <col min="3" max="7" width="20.625" style="7" customWidth="1"/>
    <col min="8" max="8" width="4.625" style="7" customWidth="1"/>
    <col min="9" max="16384" width="8.625" style="7"/>
  </cols>
  <sheetData>
    <row r="1" spans="1:8" s="6" customFormat="1" ht="39.950000000000003" customHeight="1" x14ac:dyDescent="0.3">
      <c r="B1" s="182">
        <f>DATE(CalendarYear,9,1)</f>
        <v>44440</v>
      </c>
      <c r="C1" s="182"/>
      <c r="D1" s="182"/>
      <c r="E1" s="182"/>
      <c r="F1" s="182"/>
      <c r="G1" s="182"/>
      <c r="H1" s="182"/>
    </row>
    <row r="2" spans="1:8" s="15" customFormat="1" ht="21.75" customHeight="1" x14ac:dyDescent="0.35">
      <c r="A2" s="13"/>
      <c r="B2" s="130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09" t="s">
        <v>6</v>
      </c>
      <c r="H2" s="108" t="s">
        <v>7</v>
      </c>
    </row>
    <row r="3" spans="1:8" s="15" customFormat="1" ht="14.1" customHeight="1" x14ac:dyDescent="0.35">
      <c r="A3" s="13"/>
      <c r="B3" s="125" t="str">
        <f>IF(AND(YEAR(SepSun1)=CalendarYear,MONTH(SepSun1)=9),SepSun1, "")</f>
        <v/>
      </c>
      <c r="C3" s="17" t="str">
        <f>IF(AND(YEAR(SepSun1+1)=CalendarYear,MONTH(SepSun1+1)=9),SepSun1+1, "")</f>
        <v/>
      </c>
      <c r="D3" s="14" t="str">
        <f>IF(AND(YEAR(SepSun1+2)=CalendarYear,MONTH(SepSun1+2)=9),SepSun1+2, "")</f>
        <v/>
      </c>
      <c r="E3" s="14">
        <f>IF(AND(YEAR(SepSun1+3)=CalendarYear,MONTH(SepSun1+3)=9),SepSun1+3, "")</f>
        <v>44440</v>
      </c>
      <c r="F3" s="14">
        <f>IF(AND(YEAR(SepSun1+4)=CalendarYear,MONTH(SepSun1+4)=9),SepSun1+4, "")</f>
        <v>44441</v>
      </c>
      <c r="G3" s="65">
        <f>IF(AND(YEAR(SepSun1+5)=CalendarYear,MONTH(SepSun1+5)=9),SepSun1+5, "")</f>
        <v>44442</v>
      </c>
      <c r="H3" s="75">
        <f>IF(AND(YEAR(SepSun1+6)=CalendarYear,MONTH(SepSun1+6)=9),SepSun1+6, "")</f>
        <v>44443</v>
      </c>
    </row>
    <row r="4" spans="1:8" ht="111" customHeight="1" x14ac:dyDescent="0.3">
      <c r="B4" s="68"/>
      <c r="C4" s="76"/>
      <c r="D4" s="86"/>
      <c r="E4" s="77" t="s">
        <v>8</v>
      </c>
      <c r="F4" s="84"/>
      <c r="G4" s="80" t="s">
        <v>46</v>
      </c>
      <c r="H4" s="68"/>
    </row>
    <row r="5" spans="1:8" s="15" customFormat="1" ht="14.1" customHeight="1" x14ac:dyDescent="0.35">
      <c r="A5" s="13"/>
      <c r="B5" s="66">
        <f>IF(AND(YEAR(SepSun1+7)=CalendarYear,MONTH(SepSun1+7)=9),SepSun1+7, "")</f>
        <v>44444</v>
      </c>
      <c r="C5" s="47">
        <f>IF(AND(YEAR(SepSun1+8)=CalendarYear,MONTH(SepSun1+8)=9),SepSun1+8, "")</f>
        <v>44445</v>
      </c>
      <c r="D5" s="42">
        <f>IF(AND(YEAR(SepSun1+9)=CalendarYear,MONTH(SepSun1+9)=9),SepSun1+9, "")</f>
        <v>44446</v>
      </c>
      <c r="E5" s="42">
        <f>IF(AND(YEAR(SepSun1+10)=CalendarYear,MONTH(SepSun1+10)=9),SepSun1+10, "")</f>
        <v>44447</v>
      </c>
      <c r="F5" s="42">
        <f>IF(AND(YEAR(SepSun1+11)=CalendarYear,MONTH(SepSun1+11)=9),SepSun1+11, "")</f>
        <v>44448</v>
      </c>
      <c r="G5"/>
      <c r="H5" s="66">
        <f>IF(AND(YEAR(SepSun1+13)=CalendarYear,MONTH(SepSun1+13)=9),SepSun1+13, "")</f>
        <v>44450</v>
      </c>
    </row>
    <row r="6" spans="1:8" ht="111" customHeight="1" x14ac:dyDescent="0.3">
      <c r="B6" s="68"/>
      <c r="C6" s="76"/>
      <c r="D6" s="86"/>
      <c r="E6" s="77" t="s">
        <v>35</v>
      </c>
      <c r="F6" s="132" t="s">
        <v>44</v>
      </c>
      <c r="G6" s="80" t="s">
        <v>79</v>
      </c>
      <c r="H6" s="68"/>
    </row>
    <row r="7" spans="1:8" s="15" customFormat="1" ht="14.1" customHeight="1" x14ac:dyDescent="0.35">
      <c r="A7" s="13"/>
      <c r="B7" s="66">
        <f>IF(AND(YEAR(SepSun1+14)=CalendarYear,MONTH(SepSun1+14)=9),SepSun1+14, "")</f>
        <v>44451</v>
      </c>
      <c r="C7" s="47">
        <f>IF(AND(YEAR(SepSun1+15)=CalendarYear,MONTH(SepSun1+15)=9),SepSun1+15, "")</f>
        <v>44452</v>
      </c>
      <c r="D7" s="42">
        <f>IF(AND(YEAR(SepSun1+16)=CalendarYear,MONTH(SepSun1+16)=9),SepSun1+16, "")</f>
        <v>44453</v>
      </c>
      <c r="E7" s="42">
        <f>IF(AND(YEAR(SepSun1+17)=CalendarYear,MONTH(SepSun1+17)=9),SepSun1+17, "")</f>
        <v>44454</v>
      </c>
      <c r="F7" s="42">
        <f>IF(AND(YEAR(SepSun1+18)=CalendarYear,MONTH(SepSun1+18)=9),SepSun1+18, "")</f>
        <v>44455</v>
      </c>
      <c r="G7" s="48">
        <f>IF(AND(YEAR(SepSun1+19)=CalendarYear,MONTH(SepSun1+19)=9),SepSun1+19, "")</f>
        <v>44456</v>
      </c>
      <c r="H7" s="66">
        <f>IF(AND(YEAR(SepSun1+20)=CalendarYear,MONTH(SepSun1+20)=9),SepSun1+20, "")</f>
        <v>44457</v>
      </c>
    </row>
    <row r="8" spans="1:8" ht="111" customHeight="1" x14ac:dyDescent="0.3">
      <c r="B8" s="68"/>
      <c r="C8" s="76" t="s">
        <v>76</v>
      </c>
      <c r="D8" s="77"/>
      <c r="E8" s="77" t="s">
        <v>15</v>
      </c>
      <c r="F8" s="77" t="s">
        <v>82</v>
      </c>
      <c r="G8" s="80" t="s">
        <v>46</v>
      </c>
      <c r="H8" s="68"/>
    </row>
    <row r="9" spans="1:8" s="15" customFormat="1" ht="14.1" customHeight="1" x14ac:dyDescent="0.35">
      <c r="A9" s="13"/>
      <c r="B9" s="66">
        <f>IF(AND(YEAR(SepSun1+21)=CalendarYear,MONTH(SepSun1+21)=9),SepSun1+21, "")</f>
        <v>44458</v>
      </c>
      <c r="C9" s="58">
        <f>IF(AND(YEAR(SepSun1+22)=CalendarYear,MONTH(SepSun1+22)=9),SepSun1+22, "")</f>
        <v>44459</v>
      </c>
      <c r="D9" s="21">
        <f>IF(AND(YEAR(SepSun1+23)=CalendarYear,MONTH(SepSun1+23)=9),SepSun1+23, "")</f>
        <v>44460</v>
      </c>
      <c r="E9" s="21">
        <f>IF(AND(YEAR(SepSun1+24)=CalendarYear,MONTH(SepSun1+24)=9),SepSun1+24, "")</f>
        <v>44461</v>
      </c>
      <c r="F9" s="21">
        <f>IF(AND(YEAR(SepSun1+25)=CalendarYear,MONTH(SepSun1+25)=9),SepSun1+25, "")</f>
        <v>44462</v>
      </c>
      <c r="G9" s="59">
        <f>IF(AND(YEAR(SepSun1+26)=CalendarYear,MONTH(SepSun1+26)=9),SepSun1+26, "")</f>
        <v>44463</v>
      </c>
      <c r="H9" s="66">
        <f>IF(AND(YEAR(SepSun1+27)=CalendarYear,MONTH(SepSun1+27)=9),SepSun1+27, "")</f>
        <v>44464</v>
      </c>
    </row>
    <row r="10" spans="1:8" ht="111" customHeight="1" x14ac:dyDescent="0.3">
      <c r="B10" s="68"/>
      <c r="C10" s="133"/>
      <c r="D10" s="77" t="s">
        <v>77</v>
      </c>
      <c r="E10" s="77" t="s">
        <v>50</v>
      </c>
      <c r="F10" s="94" t="s">
        <v>81</v>
      </c>
      <c r="G10" s="80" t="s">
        <v>80</v>
      </c>
      <c r="H10" s="134"/>
    </row>
    <row r="11" spans="1:8" s="15" customFormat="1" ht="14.1" customHeight="1" x14ac:dyDescent="0.35">
      <c r="A11" s="13"/>
      <c r="B11" s="66">
        <f>IF(AND(YEAR(SepSun1+28)=CalendarYear,MONTH(SepSun1+28)=9),SepSun1+28, "")</f>
        <v>44465</v>
      </c>
      <c r="C11" s="58">
        <f>IF(AND(YEAR(SepSun1+29)=CalendarYear,MONTH(SepSun1+29)=9),SepSun1+29, "")</f>
        <v>44466</v>
      </c>
      <c r="D11" s="21">
        <f>IF(AND(YEAR(SepSun1+30)=CalendarYear,MONTH(SepSun1+30)=9),SepSun1+30, "")</f>
        <v>44467</v>
      </c>
      <c r="E11" s="21">
        <f>IF(AND(YEAR(SepSun1+31)=CalendarYear,MONTH(SepSun1+31)=9),SepSun1+31, "")</f>
        <v>44468</v>
      </c>
      <c r="F11" s="21">
        <f>IF(AND(YEAR(SepSun1+32)=CalendarYear,MONTH(SepSun1+32)=9),SepSun1+32, "")</f>
        <v>44469</v>
      </c>
      <c r="G11" s="59" t="str">
        <f>IF(AND(YEAR(SepSun1+33)=CalendarYear,MONTH(SepSun1+33)=9),SepSun1+33, "")</f>
        <v/>
      </c>
      <c r="H11" s="66" t="str">
        <f>IF(AND(YEAR(SepSun1+34)=CalendarYear,MONTH(SepSun1+34)=9),SepSun1+34, "")</f>
        <v/>
      </c>
    </row>
    <row r="12" spans="1:8" ht="111" customHeight="1" x14ac:dyDescent="0.3">
      <c r="B12" s="68"/>
      <c r="C12" s="76" t="s">
        <v>78</v>
      </c>
      <c r="D12" s="77"/>
      <c r="E12" s="77" t="s">
        <v>83</v>
      </c>
      <c r="F12" s="94"/>
      <c r="G12" s="80"/>
      <c r="H12" s="68"/>
    </row>
    <row r="13" spans="1:8" s="15" customFormat="1" ht="14.1" customHeight="1" x14ac:dyDescent="0.35">
      <c r="A13" s="13"/>
      <c r="B13" s="135" t="str">
        <f>IF(AND(YEAR(SepSun1+35)=CalendarYear,MONTH(SepSun1+35)=9),SepSun1+35, "")</f>
        <v/>
      </c>
      <c r="C13" s="199"/>
      <c r="D13" s="200"/>
      <c r="E13" s="200"/>
      <c r="F13" s="200"/>
      <c r="G13" s="200"/>
      <c r="H13" s="201"/>
    </row>
    <row r="14" spans="1:8" s="15" customFormat="1" ht="20.100000000000001" customHeight="1" x14ac:dyDescent="0.35">
      <c r="A14" s="13"/>
      <c r="B14" s="136"/>
      <c r="C14" s="202"/>
      <c r="D14" s="202"/>
      <c r="E14" s="202"/>
      <c r="F14" s="202"/>
      <c r="G14" s="202"/>
      <c r="H14" s="202"/>
    </row>
    <row r="15" spans="1:8" ht="111" hidden="1" customHeight="1" x14ac:dyDescent="0.3"/>
    <row r="16" spans="1:8" ht="111" hidden="1" customHeight="1" x14ac:dyDescent="0.3"/>
    <row r="17" ht="111" hidden="1" customHeight="1" x14ac:dyDescent="0.3"/>
    <row r="18" hidden="1" x14ac:dyDescent="0.3"/>
    <row r="19" hidden="1" x14ac:dyDescent="0.3"/>
  </sheetData>
  <mergeCells count="3">
    <mergeCell ref="B1:H1"/>
    <mergeCell ref="C13:H13"/>
    <mergeCell ref="C14:H14"/>
  </mergeCells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Lookup List</vt:lpstr>
      <vt:lpstr>CalendarYear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Year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Neil</cp:lastModifiedBy>
  <cp:revision/>
  <cp:lastPrinted>2021-02-27T01:53:22Z</cp:lastPrinted>
  <dcterms:created xsi:type="dcterms:W3CDTF">2014-11-20T20:52:55Z</dcterms:created>
  <dcterms:modified xsi:type="dcterms:W3CDTF">2021-03-25T14:16:35Z</dcterms:modified>
  <cp:category/>
  <cp:contentStatus/>
</cp:coreProperties>
</file>